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90" activeTab="8"/>
  </bookViews>
  <sheets>
    <sheet name="แผนงานรวม52" sheetId="1" r:id="rId1"/>
    <sheet name="บริหาร" sheetId="2" r:id="rId2"/>
    <sheet name="รักษาความสงบ" sheetId="3" r:id="rId3"/>
    <sheet name="กองการศึกษา" sheetId="4" r:id="rId4"/>
    <sheet name="เคหะ" sheetId="5" r:id="rId5"/>
    <sheet name="ส.ธ.ส." sheetId="6" r:id="rId6"/>
    <sheet name="ศาสนา" sheetId="7" r:id="rId7"/>
    <sheet name="งบกลาง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<sst xmlns="http://schemas.openxmlformats.org/spreadsheetml/2006/main" count="281" uniqueCount="70">
  <si>
    <t>รายการ</t>
  </si>
  <si>
    <t>ประมาณการ</t>
  </si>
  <si>
    <t>รวม</t>
  </si>
  <si>
    <t>บริหารงาน</t>
  </si>
  <si>
    <t>ทั่วไป</t>
  </si>
  <si>
    <t>การศึกษา</t>
  </si>
  <si>
    <t>วัฒนธรรม</t>
  </si>
  <si>
    <t>รายจ่าย</t>
  </si>
  <si>
    <t xml:space="preserve">   ค่าตอบแทน</t>
  </si>
  <si>
    <t xml:space="preserve">   ค่าใช้สอย</t>
  </si>
  <si>
    <t xml:space="preserve">   ค่าวัสดุ </t>
  </si>
  <si>
    <t xml:space="preserve">   ค่าสาธารณูปโภค</t>
  </si>
  <si>
    <t xml:space="preserve">   เงินอุดหนุน</t>
  </si>
  <si>
    <t xml:space="preserve">   งบกลาง</t>
  </si>
  <si>
    <t xml:space="preserve">   ค่าครุภัณฑ์ </t>
  </si>
  <si>
    <t xml:space="preserve">   ค่าที่ดินและสิ่งก่อสร้าง</t>
  </si>
  <si>
    <t xml:space="preserve"> -</t>
  </si>
  <si>
    <t>แผนงาน</t>
  </si>
  <si>
    <t>การรักษาความ</t>
  </si>
  <si>
    <t>สงบภายใน</t>
  </si>
  <si>
    <t>เคหะและชุมชน</t>
  </si>
  <si>
    <t>และนันทนาการ</t>
  </si>
  <si>
    <t>แผนงานการศาสนา</t>
  </si>
  <si>
    <t>งานบริหารทั่วไป</t>
  </si>
  <si>
    <t>งานบริหารงานคลัง</t>
  </si>
  <si>
    <t>เกี่ยวกับการรักษาความสงบภายใน</t>
  </si>
  <si>
    <t>เกี่ยวกับการศึกษา</t>
  </si>
  <si>
    <t>เกี่ยวกับเคหะและชุมชน</t>
  </si>
  <si>
    <t>งานไฟฟ้าและถนน</t>
  </si>
  <si>
    <t>งานงบกลาง</t>
  </si>
  <si>
    <t>-</t>
  </si>
  <si>
    <t xml:space="preserve"> เทศบาลตำบลเขาฉกรรจ์</t>
  </si>
  <si>
    <t>งบกลาง</t>
  </si>
  <si>
    <t>เทศบาลตำบลเขาฉกรรจ์</t>
  </si>
  <si>
    <t xml:space="preserve">   เงินเดือน (ฝ่ายประจำ)</t>
  </si>
  <si>
    <t xml:space="preserve">   เงินเดือน (ฝ่ายการเมือง)</t>
  </si>
  <si>
    <t>สาธารณสุข</t>
  </si>
  <si>
    <t xml:space="preserve">   รายจ่ายอื่น</t>
  </si>
  <si>
    <t>97</t>
  </si>
  <si>
    <t>งานบริหารทั่วไปเกี่ยวกับสาธารณสุข</t>
  </si>
  <si>
    <t>งานศาสนาวัฒนธรรมท้องถิ่น</t>
  </si>
  <si>
    <t>เงินสมทบกองทุนประกันสังคม</t>
  </si>
  <si>
    <t>เบี้ยยังชีพคนชรา</t>
  </si>
  <si>
    <t>เบี้ยยังชีพคนพิการ</t>
  </si>
  <si>
    <t>เบี้ยยังชีพผู้ป่วยเอดส์</t>
  </si>
  <si>
    <t>เงินช่วยพิเศษ</t>
  </si>
  <si>
    <t>เงินสมทบกองทุนบำเหน็จบำนาญข้าราชการ</t>
  </si>
  <si>
    <t>45</t>
  </si>
  <si>
    <t xml:space="preserve">รายงานรายจ่ายในการดำเนินงานที่จ่ายจากเงินรายรับตามแผนงานบริหารงานรวม </t>
  </si>
  <si>
    <t>ตั้งแต่วันที่  1  ตุลาคม  2551    ถึง  30   กันยายน   2552</t>
  </si>
  <si>
    <t xml:space="preserve"> รายงานรายจ่ายในการดำเนินงานที่จ่ายจากเงินรายรับตามแผนงานบริหารงานทั่วไป</t>
  </si>
  <si>
    <t xml:space="preserve"> รายงานรายจ่ายในการดำเนินงานที่จ่ายจากเงินรายรับตามแผนงานบริหารงานทั่วไปเกี่ยวกับการรักษาความสงบภายใน</t>
  </si>
  <si>
    <t xml:space="preserve">รายงานรายจ่ายในการดำเนินงานที่จ่ายจากเงินรายรับตามแผนงานบริหารงานทั่วไปเกี่ยวกับกองการศึกษา </t>
  </si>
  <si>
    <t xml:space="preserve"> รายงานรายจ่ายในการดำเนินงานที่จ่ายจากเงินรายรับตามแผนงานเคหะและชุมชน </t>
  </si>
  <si>
    <t xml:space="preserve"> ตั้งแต่วันที่   1   ตุลาคม   2551   ถึง    30   กันยายน    2552</t>
  </si>
  <si>
    <t>ค่าก่อสร้าง</t>
  </si>
  <si>
    <t>สิ่งสาธารณูปการ</t>
  </si>
  <si>
    <t>ค่าบำรุงรักษา</t>
  </si>
  <si>
    <t>และปรับปรุงที่ดิน</t>
  </si>
  <si>
    <t>และสิ่งก่อสร้าง</t>
  </si>
  <si>
    <t xml:space="preserve"> รายงานรายจ่ายในการดำเนินงานที่จ่ายจากเงินรายรับตามแผนงานสาธารณสุข </t>
  </si>
  <si>
    <t xml:space="preserve"> ตั้งแต่วันที่   1   ตุลาคม   2551   ถึง    30    กันยายน    2552</t>
  </si>
  <si>
    <t xml:space="preserve">รายงานรายจ่ายในการดำเนินงานที่จ่ายจากเงินรายรับตามแผนงานการศาสนาวัฒนธรรมและนันทนาการ  </t>
  </si>
  <si>
    <t xml:space="preserve"> รายงานรายจ่ายในการดำเนินงานที่จ่ายจากเงินรายรับตามแผนงานงบกลาง </t>
  </si>
  <si>
    <t>ตั้งแต่วันที่  1  ตุลาคม  2551    ถึง  30  กันยายน   2552</t>
  </si>
  <si>
    <t>รายจ่ายตามข้อผูกพัน</t>
  </si>
  <si>
    <t>เงินสำรองจ่าย</t>
  </si>
  <si>
    <t>37</t>
  </si>
  <si>
    <t>66</t>
  </si>
  <si>
    <t>05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</si>
</sst>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_);_(* \(#,##0\);_(* &quot;-&quot;??_);_(@_)"/>
    <numFmt numFmtId="192" formatCode="_(* #,##0.0_);_(* \(#,##0.0\);_(* &quot;-&quot;??_);_(@_)"/>
    <numFmt numFmtId="193" formatCode="_(* #,##0.000_);_(* \(#,##0.000\);_(* &quot;-&quot;??_);_(@_)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2"/>
      <name val="Arial"/>
      <family val="0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u val="single"/>
      <sz val="14"/>
      <name val="Angsana New"/>
      <family val="1"/>
    </font>
    <font>
      <b/>
      <sz val="14"/>
      <name val="Angsana New"/>
      <family val="1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6"/>
      <name val="Angsana New"/>
      <family val="1"/>
    </font>
    <font>
      <sz val="8"/>
      <name val="Arial"/>
      <family val="0"/>
    </font>
    <font>
      <u val="single"/>
      <sz val="16"/>
      <name val="Angsana New"/>
      <family val="1"/>
    </font>
    <font>
      <sz val="16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6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91" fontId="20" fillId="0" borderId="10" xfId="40" applyNumberFormat="1" applyFont="1" applyBorder="1" applyAlignment="1">
      <alignment horizontal="center" vertical="center"/>
    </xf>
    <xf numFmtId="187" fontId="20" fillId="0" borderId="10" xfId="40" applyFont="1" applyBorder="1" applyAlignment="1">
      <alignment horizontal="center"/>
    </xf>
    <xf numFmtId="187" fontId="20" fillId="0" borderId="10" xfId="40" applyFont="1" applyBorder="1" applyAlignment="1">
      <alignment horizontal="center" vertical="center"/>
    </xf>
    <xf numFmtId="191" fontId="20" fillId="0" borderId="10" xfId="40" applyNumberFormat="1" applyFont="1" applyBorder="1" applyAlignment="1">
      <alignment horizontal="center"/>
    </xf>
    <xf numFmtId="187" fontId="21" fillId="0" borderId="10" xfId="40" applyNumberFormat="1" applyFont="1" applyBorder="1" applyAlignment="1">
      <alignment horizontal="center"/>
    </xf>
    <xf numFmtId="191" fontId="20" fillId="0" borderId="11" xfId="40" applyNumberFormat="1" applyFont="1" applyBorder="1" applyAlignment="1">
      <alignment horizontal="center" vertical="center"/>
    </xf>
    <xf numFmtId="187" fontId="20" fillId="0" borderId="11" xfId="40" applyFont="1" applyBorder="1" applyAlignment="1">
      <alignment horizontal="center"/>
    </xf>
    <xf numFmtId="187" fontId="20" fillId="0" borderId="11" xfId="40" applyFont="1" applyBorder="1" applyAlignment="1">
      <alignment horizontal="center" vertical="center"/>
    </xf>
    <xf numFmtId="191" fontId="20" fillId="0" borderId="11" xfId="40" applyNumberFormat="1" applyFont="1" applyBorder="1" applyAlignment="1">
      <alignment horizontal="center"/>
    </xf>
    <xf numFmtId="187" fontId="21" fillId="0" borderId="11" xfId="40" applyNumberFormat="1" applyFont="1" applyBorder="1" applyAlignment="1">
      <alignment horizontal="center"/>
    </xf>
    <xf numFmtId="187" fontId="21" fillId="0" borderId="11" xfId="40" applyFont="1" applyBorder="1" applyAlignment="1">
      <alignment horizontal="center"/>
    </xf>
    <xf numFmtId="191" fontId="20" fillId="0" borderId="12" xfId="40" applyNumberFormat="1" applyFont="1" applyBorder="1" applyAlignment="1">
      <alignment horizontal="center" vertical="center"/>
    </xf>
    <xf numFmtId="187" fontId="20" fillId="0" borderId="12" xfId="40" applyFont="1" applyBorder="1" applyAlignment="1">
      <alignment horizontal="center"/>
    </xf>
    <xf numFmtId="187" fontId="20" fillId="0" borderId="12" xfId="40" applyFont="1" applyBorder="1" applyAlignment="1">
      <alignment horizontal="center" vertical="center"/>
    </xf>
    <xf numFmtId="187" fontId="21" fillId="0" borderId="12" xfId="40" applyNumberFormat="1" applyFont="1" applyBorder="1" applyAlignment="1">
      <alignment horizontal="center"/>
    </xf>
    <xf numFmtId="187" fontId="21" fillId="0" borderId="12" xfId="40" applyFont="1" applyBorder="1" applyAlignment="1">
      <alignment horizontal="center"/>
    </xf>
    <xf numFmtId="0" fontId="22" fillId="0" borderId="13" xfId="52" applyFont="1" applyBorder="1">
      <alignment/>
      <protection/>
    </xf>
    <xf numFmtId="191" fontId="20" fillId="0" borderId="14" xfId="40" applyNumberFormat="1" applyFont="1" applyBorder="1" applyAlignment="1">
      <alignment/>
    </xf>
    <xf numFmtId="191" fontId="20" fillId="0" borderId="15" xfId="40" applyNumberFormat="1" applyFont="1" applyBorder="1" applyAlignment="1">
      <alignment/>
    </xf>
    <xf numFmtId="191" fontId="20" fillId="0" borderId="13" xfId="40" applyNumberFormat="1" applyFont="1" applyBorder="1" applyAlignment="1">
      <alignment/>
    </xf>
    <xf numFmtId="187" fontId="20" fillId="0" borderId="13" xfId="40" applyFont="1" applyBorder="1" applyAlignment="1">
      <alignment/>
    </xf>
    <xf numFmtId="187" fontId="20" fillId="0" borderId="13" xfId="40" applyNumberFormat="1" applyFont="1" applyBorder="1" applyAlignment="1">
      <alignment/>
    </xf>
    <xf numFmtId="0" fontId="20" fillId="0" borderId="13" xfId="52" applyFont="1" applyBorder="1">
      <alignment/>
      <protection/>
    </xf>
    <xf numFmtId="187" fontId="20" fillId="0" borderId="13" xfId="40" applyFont="1" applyBorder="1" applyAlignment="1">
      <alignment horizontal="center"/>
    </xf>
    <xf numFmtId="191" fontId="20" fillId="0" borderId="13" xfId="40" applyNumberFormat="1" applyFont="1" applyBorder="1" applyAlignment="1">
      <alignment horizontal="center"/>
    </xf>
    <xf numFmtId="49" fontId="20" fillId="0" borderId="13" xfId="40" applyNumberFormat="1" applyFont="1" applyBorder="1" applyAlignment="1">
      <alignment horizontal="center"/>
    </xf>
    <xf numFmtId="187" fontId="20" fillId="0" borderId="13" xfId="40" applyNumberFormat="1" applyFont="1" applyBorder="1" applyAlignment="1">
      <alignment horizontal="center"/>
    </xf>
    <xf numFmtId="0" fontId="23" fillId="0" borderId="13" xfId="52" applyFont="1" applyBorder="1" applyAlignment="1">
      <alignment horizontal="center"/>
      <protection/>
    </xf>
    <xf numFmtId="191" fontId="20" fillId="0" borderId="16" xfId="40" applyNumberFormat="1" applyFont="1" applyBorder="1" applyAlignment="1">
      <alignment/>
    </xf>
    <xf numFmtId="191" fontId="20" fillId="0" borderId="16" xfId="40" applyNumberFormat="1" applyFont="1" applyBorder="1" applyAlignment="1">
      <alignment horizontal="center"/>
    </xf>
    <xf numFmtId="187" fontId="20" fillId="0" borderId="16" xfId="40" applyNumberFormat="1" applyFont="1" applyBorder="1" applyAlignment="1">
      <alignment/>
    </xf>
    <xf numFmtId="0" fontId="23" fillId="0" borderId="13" xfId="53" applyFont="1" applyBorder="1" applyAlignment="1">
      <alignment horizontal="center"/>
      <protection/>
    </xf>
    <xf numFmtId="187" fontId="19" fillId="0" borderId="10" xfId="41" applyNumberFormat="1" applyFont="1" applyBorder="1" applyAlignment="1">
      <alignment horizontal="center" vertical="center"/>
    </xf>
    <xf numFmtId="187" fontId="19" fillId="0" borderId="10" xfId="41" applyFont="1" applyBorder="1" applyAlignment="1">
      <alignment horizontal="center" vertical="center"/>
    </xf>
    <xf numFmtId="187" fontId="19" fillId="0" borderId="11" xfId="41" applyNumberFormat="1" applyFont="1" applyBorder="1" applyAlignment="1">
      <alignment horizontal="center" vertical="center"/>
    </xf>
    <xf numFmtId="187" fontId="19" fillId="0" borderId="11" xfId="41" applyFont="1" applyBorder="1" applyAlignment="1">
      <alignment horizontal="center" vertical="center"/>
    </xf>
    <xf numFmtId="187" fontId="19" fillId="0" borderId="12" xfId="41" applyNumberFormat="1" applyFont="1" applyBorder="1" applyAlignment="1">
      <alignment horizontal="center" vertical="center"/>
    </xf>
    <xf numFmtId="187" fontId="19" fillId="0" borderId="12" xfId="41" applyFont="1" applyBorder="1" applyAlignment="1">
      <alignment horizontal="center" vertical="center"/>
    </xf>
    <xf numFmtId="187" fontId="19" fillId="0" borderId="10" xfId="41" applyFont="1" applyBorder="1" applyAlignment="1">
      <alignment/>
    </xf>
    <xf numFmtId="187" fontId="19" fillId="0" borderId="12" xfId="41" applyNumberFormat="1" applyFont="1" applyBorder="1" applyAlignment="1">
      <alignment horizontal="center"/>
    </xf>
    <xf numFmtId="187" fontId="19" fillId="0" borderId="13" xfId="41" applyNumberFormat="1" applyFont="1" applyBorder="1" applyAlignment="1">
      <alignment horizontal="center"/>
    </xf>
    <xf numFmtId="187" fontId="19" fillId="0" borderId="13" xfId="41" applyFont="1" applyBorder="1" applyAlignment="1">
      <alignment horizontal="center"/>
    </xf>
    <xf numFmtId="187" fontId="19" fillId="0" borderId="13" xfId="41" applyNumberFormat="1" applyFont="1" applyBorder="1" applyAlignment="1">
      <alignment/>
    </xf>
    <xf numFmtId="187" fontId="19" fillId="0" borderId="16" xfId="41" applyNumberFormat="1" applyFont="1" applyBorder="1" applyAlignment="1">
      <alignment/>
    </xf>
    <xf numFmtId="187" fontId="19" fillId="0" borderId="10" xfId="42" applyNumberFormat="1" applyFont="1" applyBorder="1" applyAlignment="1">
      <alignment horizontal="center" vertical="center"/>
    </xf>
    <xf numFmtId="187" fontId="19" fillId="0" borderId="11" xfId="42" applyNumberFormat="1" applyFont="1" applyBorder="1" applyAlignment="1">
      <alignment horizontal="center" vertical="center"/>
    </xf>
    <xf numFmtId="187" fontId="19" fillId="0" borderId="12" xfId="42" applyNumberFormat="1" applyFont="1" applyBorder="1" applyAlignment="1">
      <alignment horizontal="center" vertical="center"/>
    </xf>
    <xf numFmtId="0" fontId="28" fillId="0" borderId="10" xfId="54" applyFont="1" applyBorder="1">
      <alignment/>
      <protection/>
    </xf>
    <xf numFmtId="187" fontId="19" fillId="0" borderId="10" xfId="42" applyNumberFormat="1" applyFont="1" applyBorder="1" applyAlignment="1">
      <alignment/>
    </xf>
    <xf numFmtId="187" fontId="19" fillId="0" borderId="10" xfId="42" applyFont="1" applyBorder="1" applyAlignment="1">
      <alignment/>
    </xf>
    <xf numFmtId="187" fontId="19" fillId="0" borderId="12" xfId="42" applyNumberFormat="1" applyFont="1" applyBorder="1" applyAlignment="1">
      <alignment horizontal="center"/>
    </xf>
    <xf numFmtId="187" fontId="19" fillId="0" borderId="13" xfId="42" applyNumberFormat="1" applyFont="1" applyBorder="1" applyAlignment="1">
      <alignment/>
    </xf>
    <xf numFmtId="0" fontId="23" fillId="0" borderId="13" xfId="54" applyFont="1" applyBorder="1">
      <alignment/>
      <protection/>
    </xf>
    <xf numFmtId="187" fontId="19" fillId="0" borderId="13" xfId="42" applyFont="1" applyBorder="1" applyAlignment="1">
      <alignment/>
    </xf>
    <xf numFmtId="0" fontId="23" fillId="0" borderId="13" xfId="54" applyFont="1" applyBorder="1" applyAlignment="1">
      <alignment horizontal="center"/>
      <protection/>
    </xf>
    <xf numFmtId="187" fontId="19" fillId="0" borderId="16" xfId="42" applyNumberFormat="1" applyFont="1" applyBorder="1" applyAlignment="1">
      <alignment/>
    </xf>
    <xf numFmtId="187" fontId="19" fillId="0" borderId="10" xfId="43" applyNumberFormat="1" applyFont="1" applyBorder="1" applyAlignment="1">
      <alignment horizontal="center" vertical="center"/>
    </xf>
    <xf numFmtId="187" fontId="19" fillId="0" borderId="11" xfId="43" applyNumberFormat="1" applyFont="1" applyBorder="1" applyAlignment="1">
      <alignment horizontal="center" vertical="center"/>
    </xf>
    <xf numFmtId="0" fontId="28" fillId="0" borderId="17" xfId="55" applyFont="1" applyBorder="1">
      <alignment/>
      <protection/>
    </xf>
    <xf numFmtId="187" fontId="19" fillId="0" borderId="10" xfId="43" applyNumberFormat="1" applyFont="1" applyBorder="1" applyAlignment="1">
      <alignment/>
    </xf>
    <xf numFmtId="187" fontId="19" fillId="0" borderId="10" xfId="43" applyFont="1" applyBorder="1" applyAlignment="1">
      <alignment/>
    </xf>
    <xf numFmtId="187" fontId="19" fillId="0" borderId="12" xfId="43" applyNumberFormat="1" applyFont="1" applyBorder="1" applyAlignment="1">
      <alignment horizontal="center"/>
    </xf>
    <xf numFmtId="0" fontId="19" fillId="0" borderId="13" xfId="55" applyFont="1" applyBorder="1">
      <alignment/>
      <protection/>
    </xf>
    <xf numFmtId="187" fontId="19" fillId="0" borderId="13" xfId="43" applyNumberFormat="1" applyFont="1" applyBorder="1" applyAlignment="1">
      <alignment horizontal="center"/>
    </xf>
    <xf numFmtId="187" fontId="19" fillId="0" borderId="13" xfId="43" applyNumberFormat="1" applyFont="1" applyBorder="1" applyAlignment="1">
      <alignment/>
    </xf>
    <xf numFmtId="187" fontId="19" fillId="0" borderId="13" xfId="43" applyFont="1" applyBorder="1" applyAlignment="1">
      <alignment/>
    </xf>
    <xf numFmtId="0" fontId="23" fillId="0" borderId="13" xfId="55" applyFont="1" applyBorder="1">
      <alignment/>
      <protection/>
    </xf>
    <xf numFmtId="0" fontId="23" fillId="0" borderId="13" xfId="55" applyFont="1" applyBorder="1" applyAlignment="1">
      <alignment horizontal="center"/>
      <protection/>
    </xf>
    <xf numFmtId="187" fontId="19" fillId="0" borderId="16" xfId="43" applyNumberFormat="1" applyFont="1" applyBorder="1" applyAlignment="1">
      <alignment/>
    </xf>
    <xf numFmtId="187" fontId="19" fillId="0" borderId="10" xfId="44" applyNumberFormat="1" applyFont="1" applyBorder="1" applyAlignment="1">
      <alignment horizontal="center" vertical="center"/>
    </xf>
    <xf numFmtId="187" fontId="19" fillId="0" borderId="11" xfId="44" applyNumberFormat="1" applyFont="1" applyBorder="1" applyAlignment="1">
      <alignment horizontal="center" vertical="center"/>
    </xf>
    <xf numFmtId="0" fontId="19" fillId="0" borderId="11" xfId="56" applyFont="1" applyBorder="1" applyAlignment="1">
      <alignment horizontal="center"/>
      <protection/>
    </xf>
    <xf numFmtId="187" fontId="19" fillId="0" borderId="12" xfId="44" applyNumberFormat="1" applyFont="1" applyBorder="1" applyAlignment="1">
      <alignment horizontal="center" vertical="center"/>
    </xf>
    <xf numFmtId="0" fontId="19" fillId="0" borderId="12" xfId="56" applyFont="1" applyBorder="1">
      <alignment/>
      <protection/>
    </xf>
    <xf numFmtId="0" fontId="28" fillId="0" borderId="10" xfId="56" applyFont="1" applyBorder="1">
      <alignment/>
      <protection/>
    </xf>
    <xf numFmtId="187" fontId="19" fillId="0" borderId="10" xfId="44" applyNumberFormat="1" applyFont="1" applyBorder="1" applyAlignment="1">
      <alignment/>
    </xf>
    <xf numFmtId="187" fontId="19" fillId="0" borderId="10" xfId="44" applyFont="1" applyBorder="1" applyAlignment="1">
      <alignment/>
    </xf>
    <xf numFmtId="0" fontId="6" fillId="0" borderId="10" xfId="56" applyBorder="1">
      <alignment/>
      <protection/>
    </xf>
    <xf numFmtId="187" fontId="19" fillId="0" borderId="12" xfId="44" applyNumberFormat="1" applyFont="1" applyBorder="1" applyAlignment="1">
      <alignment horizontal="center"/>
    </xf>
    <xf numFmtId="0" fontId="19" fillId="0" borderId="13" xfId="56" applyFont="1" applyBorder="1">
      <alignment/>
      <protection/>
    </xf>
    <xf numFmtId="187" fontId="19" fillId="0" borderId="13" xfId="44" applyNumberFormat="1" applyFont="1" applyBorder="1" applyAlignment="1">
      <alignment/>
    </xf>
    <xf numFmtId="187" fontId="19" fillId="0" borderId="12" xfId="44" applyNumberFormat="1" applyFont="1" applyBorder="1" applyAlignment="1">
      <alignment horizontal="right"/>
    </xf>
    <xf numFmtId="187" fontId="19" fillId="0" borderId="13" xfId="44" applyNumberFormat="1" applyFont="1" applyBorder="1" applyAlignment="1">
      <alignment horizontal="center"/>
    </xf>
    <xf numFmtId="187" fontId="19" fillId="0" borderId="13" xfId="44" applyFont="1" applyBorder="1" applyAlignment="1">
      <alignment/>
    </xf>
    <xf numFmtId="0" fontId="29" fillId="0" borderId="13" xfId="56" applyFont="1" applyBorder="1">
      <alignment/>
      <protection/>
    </xf>
    <xf numFmtId="0" fontId="23" fillId="0" borderId="13" xfId="56" applyFont="1" applyBorder="1">
      <alignment/>
      <protection/>
    </xf>
    <xf numFmtId="0" fontId="23" fillId="0" borderId="13" xfId="56" applyFont="1" applyBorder="1" applyAlignment="1">
      <alignment horizontal="center"/>
      <protection/>
    </xf>
    <xf numFmtId="187" fontId="19" fillId="0" borderId="16" xfId="44" applyNumberFormat="1" applyFont="1" applyBorder="1" applyAlignment="1">
      <alignment/>
    </xf>
    <xf numFmtId="187" fontId="19" fillId="0" borderId="10" xfId="45" applyNumberFormat="1" applyFont="1" applyBorder="1" applyAlignment="1">
      <alignment horizontal="center" vertical="center"/>
    </xf>
    <xf numFmtId="187" fontId="19" fillId="0" borderId="11" xfId="45" applyNumberFormat="1" applyFont="1" applyBorder="1" applyAlignment="1">
      <alignment horizontal="center" vertical="center"/>
    </xf>
    <xf numFmtId="187" fontId="19" fillId="0" borderId="12" xfId="45" applyNumberFormat="1" applyFont="1" applyBorder="1" applyAlignment="1">
      <alignment horizontal="center" vertical="center"/>
    </xf>
    <xf numFmtId="0" fontId="28" fillId="0" borderId="10" xfId="57" applyFont="1" applyBorder="1">
      <alignment/>
      <protection/>
    </xf>
    <xf numFmtId="191" fontId="19" fillId="0" borderId="10" xfId="45" applyNumberFormat="1" applyFont="1" applyBorder="1" applyAlignment="1">
      <alignment/>
    </xf>
    <xf numFmtId="187" fontId="19" fillId="0" borderId="10" xfId="45" applyFont="1" applyBorder="1" applyAlignment="1">
      <alignment/>
    </xf>
    <xf numFmtId="187" fontId="19" fillId="0" borderId="10" xfId="45" applyNumberFormat="1" applyFont="1" applyBorder="1" applyAlignment="1">
      <alignment/>
    </xf>
    <xf numFmtId="0" fontId="19" fillId="0" borderId="12" xfId="57" applyFont="1" applyBorder="1">
      <alignment/>
      <protection/>
    </xf>
    <xf numFmtId="187" fontId="19" fillId="0" borderId="12" xfId="45" applyNumberFormat="1" applyFont="1" applyBorder="1" applyAlignment="1">
      <alignment/>
    </xf>
    <xf numFmtId="0" fontId="19" fillId="0" borderId="13" xfId="57" applyFont="1" applyBorder="1">
      <alignment/>
      <protection/>
    </xf>
    <xf numFmtId="187" fontId="19" fillId="0" borderId="13" xfId="45" applyNumberFormat="1" applyFont="1" applyBorder="1" applyAlignment="1">
      <alignment/>
    </xf>
    <xf numFmtId="187" fontId="19" fillId="0" borderId="13" xfId="45" applyFont="1" applyBorder="1" applyAlignment="1">
      <alignment horizontal="center"/>
    </xf>
    <xf numFmtId="187" fontId="19" fillId="0" borderId="13" xfId="45" applyNumberFormat="1" applyFont="1" applyBorder="1" applyAlignment="1">
      <alignment horizontal="center"/>
    </xf>
    <xf numFmtId="191" fontId="19" fillId="0" borderId="13" xfId="45" applyNumberFormat="1" applyFont="1" applyBorder="1" applyAlignment="1">
      <alignment/>
    </xf>
    <xf numFmtId="187" fontId="26" fillId="0" borderId="13" xfId="45" applyFont="1" applyBorder="1" applyAlignment="1">
      <alignment/>
    </xf>
    <xf numFmtId="0" fontId="23" fillId="0" borderId="13" xfId="57" applyFont="1" applyBorder="1">
      <alignment/>
      <protection/>
    </xf>
    <xf numFmtId="0" fontId="23" fillId="0" borderId="13" xfId="57" applyFont="1" applyBorder="1" applyAlignment="1">
      <alignment horizontal="center"/>
      <protection/>
    </xf>
    <xf numFmtId="187" fontId="19" fillId="0" borderId="16" xfId="45" applyNumberFormat="1" applyFont="1" applyBorder="1" applyAlignment="1">
      <alignment/>
    </xf>
    <xf numFmtId="187" fontId="19" fillId="0" borderId="10" xfId="4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17" xfId="53" applyFont="1" applyBorder="1">
      <alignment/>
      <protection/>
    </xf>
    <xf numFmtId="187" fontId="19" fillId="0" borderId="18" xfId="41" applyFont="1" applyBorder="1" applyAlignment="1">
      <alignment/>
    </xf>
    <xf numFmtId="187" fontId="19" fillId="0" borderId="11" xfId="41" applyNumberFormat="1" applyFont="1" applyBorder="1" applyAlignment="1">
      <alignment/>
    </xf>
    <xf numFmtId="187" fontId="19" fillId="0" borderId="13" xfId="40" applyNumberFormat="1" applyFont="1" applyBorder="1" applyAlignment="1">
      <alignment/>
    </xf>
    <xf numFmtId="191" fontId="20" fillId="0" borderId="10" xfId="40" applyNumberFormat="1" applyFont="1" applyBorder="1" applyAlignment="1">
      <alignment/>
    </xf>
    <xf numFmtId="187" fontId="19" fillId="0" borderId="13" xfId="42" applyNumberFormat="1" applyFont="1" applyBorder="1" applyAlignment="1">
      <alignment horizontal="center"/>
    </xf>
    <xf numFmtId="187" fontId="19" fillId="0" borderId="13" xfId="43" applyNumberFormat="1" applyFont="1" applyBorder="1" applyAlignment="1">
      <alignment horizontal="right"/>
    </xf>
    <xf numFmtId="187" fontId="19" fillId="0" borderId="13" xfId="44" applyFont="1" applyBorder="1" applyAlignment="1">
      <alignment horizontal="right"/>
    </xf>
    <xf numFmtId="187" fontId="21" fillId="0" borderId="18" xfId="40" applyFont="1" applyBorder="1" applyAlignment="1">
      <alignment/>
    </xf>
    <xf numFmtId="187" fontId="21" fillId="0" borderId="19" xfId="40" applyFont="1" applyBorder="1" applyAlignment="1">
      <alignment horizontal="center"/>
    </xf>
    <xf numFmtId="187" fontId="21" fillId="0" borderId="20" xfId="40" applyFont="1" applyBorder="1" applyAlignment="1">
      <alignment horizontal="center"/>
    </xf>
    <xf numFmtId="187" fontId="21" fillId="0" borderId="10" xfId="40" applyFont="1" applyBorder="1" applyAlignment="1">
      <alignment/>
    </xf>
    <xf numFmtId="187" fontId="0" fillId="0" borderId="0" xfId="0" applyNumberFormat="1" applyAlignment="1">
      <alignment/>
    </xf>
    <xf numFmtId="191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38" applyFont="1" applyAlignment="1">
      <alignment/>
    </xf>
    <xf numFmtId="0" fontId="23" fillId="0" borderId="0" xfId="52" applyFont="1" applyBorder="1" applyAlignment="1">
      <alignment horizontal="center"/>
      <protection/>
    </xf>
    <xf numFmtId="191" fontId="20" fillId="0" borderId="0" xfId="40" applyNumberFormat="1" applyFont="1" applyBorder="1" applyAlignment="1">
      <alignment/>
    </xf>
    <xf numFmtId="187" fontId="20" fillId="0" borderId="0" xfId="40" applyFont="1" applyBorder="1" applyAlignment="1">
      <alignment horizontal="center"/>
    </xf>
    <xf numFmtId="191" fontId="20" fillId="0" borderId="0" xfId="40" applyNumberFormat="1" applyFont="1" applyBorder="1" applyAlignment="1">
      <alignment horizontal="center"/>
    </xf>
    <xf numFmtId="187" fontId="20" fillId="0" borderId="0" xfId="40" applyNumberFormat="1" applyFont="1" applyBorder="1" applyAlignment="1">
      <alignment/>
    </xf>
    <xf numFmtId="187" fontId="19" fillId="0" borderId="16" xfId="42" applyNumberFormat="1" applyFont="1" applyBorder="1" applyAlignment="1">
      <alignment horizontal="center"/>
    </xf>
    <xf numFmtId="0" fontId="19" fillId="0" borderId="1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0" fillId="0" borderId="12" xfId="52" applyFont="1" applyBorder="1">
      <alignment/>
      <protection/>
    </xf>
    <xf numFmtId="0" fontId="0" fillId="0" borderId="13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3" fontId="19" fillId="0" borderId="13" xfId="38" applyFont="1" applyBorder="1" applyAlignment="1">
      <alignment/>
    </xf>
    <xf numFmtId="0" fontId="30" fillId="0" borderId="0" xfId="0" applyFont="1" applyAlignment="1">
      <alignment/>
    </xf>
    <xf numFmtId="43" fontId="30" fillId="0" borderId="0" xfId="38" applyFont="1" applyAlignment="1">
      <alignment/>
    </xf>
    <xf numFmtId="0" fontId="20" fillId="0" borderId="0" xfId="52" applyFont="1" applyFill="1" applyBorder="1">
      <alignment/>
      <protection/>
    </xf>
    <xf numFmtId="0" fontId="0" fillId="0" borderId="21" xfId="0" applyBorder="1" applyAlignment="1">
      <alignment/>
    </xf>
    <xf numFmtId="187" fontId="19" fillId="0" borderId="21" xfId="44" applyNumberFormat="1" applyFont="1" applyBorder="1" applyAlignment="1">
      <alignment horizontal="left"/>
    </xf>
    <xf numFmtId="187" fontId="19" fillId="0" borderId="13" xfId="43" applyNumberFormat="1" applyFont="1" applyBorder="1" applyAlignment="1">
      <alignment horizontal="left"/>
    </xf>
    <xf numFmtId="187" fontId="19" fillId="0" borderId="0" xfId="4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3" fontId="19" fillId="0" borderId="0" xfId="38" applyFont="1" applyAlignment="1">
      <alignment/>
    </xf>
    <xf numFmtId="187" fontId="19" fillId="0" borderId="0" xfId="41" applyNumberFormat="1" applyFont="1" applyBorder="1" applyAlignment="1">
      <alignment/>
    </xf>
    <xf numFmtId="49" fontId="0" fillId="0" borderId="0" xfId="0" applyNumberFormat="1" applyAlignment="1">
      <alignment/>
    </xf>
    <xf numFmtId="49" fontId="20" fillId="0" borderId="16" xfId="40" applyNumberFormat="1" applyFont="1" applyBorder="1" applyAlignment="1">
      <alignment horizontal="center"/>
    </xf>
    <xf numFmtId="187" fontId="0" fillId="0" borderId="0" xfId="0" applyNumberFormat="1" applyFont="1" applyAlignment="1">
      <alignment/>
    </xf>
    <xf numFmtId="187" fontId="19" fillId="0" borderId="0" xfId="40" applyFont="1" applyAlignment="1">
      <alignment horizontal="center"/>
    </xf>
    <xf numFmtId="187" fontId="19" fillId="0" borderId="22" xfId="40" applyFont="1" applyBorder="1" applyAlignment="1">
      <alignment horizontal="center"/>
    </xf>
    <xf numFmtId="0" fontId="20" fillId="0" borderId="13" xfId="52" applyFont="1" applyBorder="1" applyAlignment="1">
      <alignment horizontal="center" vertical="center"/>
      <protection/>
    </xf>
    <xf numFmtId="187" fontId="20" fillId="0" borderId="17" xfId="40" applyFont="1" applyBorder="1" applyAlignment="1">
      <alignment horizontal="center" vertical="center"/>
    </xf>
    <xf numFmtId="187" fontId="20" fillId="0" borderId="18" xfId="40" applyFont="1" applyBorder="1" applyAlignment="1">
      <alignment horizontal="center" vertical="center"/>
    </xf>
    <xf numFmtId="187" fontId="20" fillId="0" borderId="21" xfId="40" applyFont="1" applyBorder="1" applyAlignment="1">
      <alignment horizontal="center" vertical="center"/>
    </xf>
    <xf numFmtId="187" fontId="20" fillId="0" borderId="19" xfId="40" applyFont="1" applyBorder="1" applyAlignment="1">
      <alignment horizontal="center" vertical="center"/>
    </xf>
    <xf numFmtId="187" fontId="20" fillId="0" borderId="23" xfId="40" applyFont="1" applyBorder="1" applyAlignment="1">
      <alignment horizontal="center" vertical="center"/>
    </xf>
    <xf numFmtId="187" fontId="20" fillId="0" borderId="20" xfId="40" applyFont="1" applyBorder="1" applyAlignment="1">
      <alignment horizontal="center" vertical="center"/>
    </xf>
    <xf numFmtId="187" fontId="19" fillId="0" borderId="0" xfId="41" applyFont="1" applyAlignment="1">
      <alignment horizontal="center"/>
    </xf>
    <xf numFmtId="187" fontId="19" fillId="0" borderId="0" xfId="40" applyFont="1" applyBorder="1" applyAlignment="1">
      <alignment horizontal="center"/>
    </xf>
    <xf numFmtId="0" fontId="19" fillId="0" borderId="13" xfId="53" applyFont="1" applyBorder="1" applyAlignment="1">
      <alignment horizontal="center" vertical="center"/>
      <protection/>
    </xf>
    <xf numFmtId="187" fontId="19" fillId="0" borderId="13" xfId="41" applyNumberFormat="1" applyFont="1" applyBorder="1" applyAlignment="1">
      <alignment horizontal="center" vertical="center"/>
    </xf>
    <xf numFmtId="187" fontId="19" fillId="0" borderId="13" xfId="41" applyFont="1" applyBorder="1" applyAlignment="1">
      <alignment horizontal="center" vertical="center"/>
    </xf>
    <xf numFmtId="0" fontId="19" fillId="0" borderId="13" xfId="54" applyFont="1" applyBorder="1" applyAlignment="1">
      <alignment horizontal="center" vertical="center"/>
      <protection/>
    </xf>
    <xf numFmtId="187" fontId="19" fillId="0" borderId="13" xfId="42" applyNumberFormat="1" applyFont="1" applyBorder="1" applyAlignment="1">
      <alignment horizontal="center" vertical="center"/>
    </xf>
    <xf numFmtId="187" fontId="19" fillId="0" borderId="13" xfId="42" applyFont="1" applyBorder="1" applyAlignment="1">
      <alignment horizontal="center" vertical="center"/>
    </xf>
    <xf numFmtId="0" fontId="19" fillId="0" borderId="13" xfId="55" applyFont="1" applyBorder="1" applyAlignment="1">
      <alignment horizontal="center" vertical="center"/>
      <protection/>
    </xf>
    <xf numFmtId="187" fontId="19" fillId="0" borderId="13" xfId="43" applyNumberFormat="1" applyFont="1" applyBorder="1" applyAlignment="1">
      <alignment horizontal="center" vertical="center"/>
    </xf>
    <xf numFmtId="187" fontId="19" fillId="0" borderId="10" xfId="43" applyNumberFormat="1" applyFont="1" applyBorder="1" applyAlignment="1">
      <alignment horizontal="center" vertical="center"/>
    </xf>
    <xf numFmtId="187" fontId="19" fillId="0" borderId="13" xfId="43" applyFont="1" applyBorder="1" applyAlignment="1">
      <alignment horizontal="center" vertical="center"/>
    </xf>
    <xf numFmtId="187" fontId="19" fillId="0" borderId="10" xfId="43" applyFont="1" applyBorder="1" applyAlignment="1">
      <alignment horizontal="center" vertical="center"/>
    </xf>
    <xf numFmtId="187" fontId="19" fillId="0" borderId="0" xfId="44" applyFont="1" applyAlignment="1">
      <alignment horizontal="center"/>
    </xf>
    <xf numFmtId="187" fontId="19" fillId="0" borderId="22" xfId="44" applyFont="1" applyBorder="1" applyAlignment="1">
      <alignment horizontal="center"/>
    </xf>
    <xf numFmtId="0" fontId="19" fillId="0" borderId="13" xfId="56" applyFont="1" applyBorder="1" applyAlignment="1">
      <alignment horizontal="center" vertical="center"/>
      <protection/>
    </xf>
    <xf numFmtId="187" fontId="19" fillId="0" borderId="13" xfId="44" applyNumberFormat="1" applyFont="1" applyBorder="1" applyAlignment="1">
      <alignment horizontal="center" vertical="center"/>
    </xf>
    <xf numFmtId="187" fontId="19" fillId="0" borderId="13" xfId="44" applyFont="1" applyBorder="1" applyAlignment="1">
      <alignment horizontal="center" vertical="center"/>
    </xf>
    <xf numFmtId="187" fontId="19" fillId="0" borderId="10" xfId="44" applyNumberFormat="1" applyFont="1" applyBorder="1" applyAlignment="1">
      <alignment horizontal="center" vertical="center"/>
    </xf>
    <xf numFmtId="187" fontId="19" fillId="0" borderId="11" xfId="44" applyNumberFormat="1" applyFont="1" applyBorder="1" applyAlignment="1">
      <alignment horizontal="center" vertical="center"/>
    </xf>
    <xf numFmtId="187" fontId="19" fillId="0" borderId="12" xfId="44" applyNumberFormat="1" applyFont="1" applyBorder="1" applyAlignment="1">
      <alignment horizontal="center" vertical="center"/>
    </xf>
    <xf numFmtId="0" fontId="19" fillId="0" borderId="13" xfId="57" applyFont="1" applyBorder="1" applyAlignment="1">
      <alignment horizontal="center" vertical="center"/>
      <protection/>
    </xf>
    <xf numFmtId="191" fontId="19" fillId="0" borderId="13" xfId="45" applyNumberFormat="1" applyFont="1" applyBorder="1" applyAlignment="1">
      <alignment horizontal="center" vertical="center"/>
    </xf>
    <xf numFmtId="187" fontId="19" fillId="0" borderId="13" xfId="45" applyFont="1" applyBorder="1" applyAlignment="1">
      <alignment horizontal="center" vertic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Sheet1" xfId="40"/>
    <cellStyle name="เครื่องหมายจุลภาค_Sheet2" xfId="41"/>
    <cellStyle name="เครื่องหมายจุลภาค_Sheet3" xfId="42"/>
    <cellStyle name="เครื่องหมายจุลภาค_Sheet4" xfId="43"/>
    <cellStyle name="เครื่องหมายจุลภาค_Sheet5" xfId="44"/>
    <cellStyle name="เครื่องหมายจุลภาค_Sheet6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_Sheet1" xfId="52"/>
    <cellStyle name="ปกติ_Sheet2" xfId="53"/>
    <cellStyle name="ปกติ_Sheet3" xfId="54"/>
    <cellStyle name="ปกติ_Sheet4" xfId="55"/>
    <cellStyle name="ปกติ_Sheet5" xfId="56"/>
    <cellStyle name="ปกติ_Sheet6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5">
      <selection activeCell="K30" sqref="K30"/>
    </sheetView>
  </sheetViews>
  <sheetFormatPr defaultColWidth="9.140625" defaultRowHeight="12.75"/>
  <cols>
    <col min="1" max="1" width="23.00390625" style="0" customWidth="1"/>
    <col min="2" max="2" width="11.421875" style="0" customWidth="1"/>
    <col min="3" max="3" width="3.8515625" style="0" customWidth="1"/>
    <col min="4" max="4" width="10.57421875" style="0" customWidth="1"/>
    <col min="5" max="5" width="3.57421875" style="0" customWidth="1"/>
    <col min="6" max="6" width="12.140625" style="0" customWidth="1"/>
    <col min="7" max="7" width="11.57421875" style="0" customWidth="1"/>
    <col min="8" max="8" width="10.8515625" style="0" customWidth="1"/>
    <col min="9" max="9" width="11.7109375" style="0" customWidth="1"/>
    <col min="10" max="10" width="11.140625" style="0" customWidth="1"/>
    <col min="11" max="11" width="13.57421875" style="0" customWidth="1"/>
    <col min="12" max="12" width="11.00390625" style="0" customWidth="1"/>
    <col min="13" max="13" width="15.57421875" style="0" customWidth="1"/>
    <col min="14" max="14" width="17.421875" style="0" customWidth="1"/>
  </cols>
  <sheetData>
    <row r="1" spans="1:14" ht="21">
      <c r="A1" s="125"/>
      <c r="B1" s="126"/>
      <c r="C1" s="127"/>
      <c r="D1" s="126"/>
      <c r="E1" s="128"/>
      <c r="F1" s="129"/>
      <c r="G1" s="129"/>
      <c r="H1" s="129"/>
      <c r="I1" s="129"/>
      <c r="J1" s="129"/>
      <c r="K1" s="129"/>
      <c r="L1" s="129"/>
      <c r="M1" s="121"/>
      <c r="N1" s="121"/>
    </row>
    <row r="3" spans="1:12" ht="23.25">
      <c r="A3" s="154" t="s">
        <v>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23.25">
      <c r="A4" s="154" t="s">
        <v>48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N4" s="121"/>
    </row>
    <row r="5" spans="1:12" ht="23.25">
      <c r="A5" s="155" t="s">
        <v>49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4" ht="21">
      <c r="A6" s="156" t="s">
        <v>0</v>
      </c>
      <c r="B6" s="157" t="s">
        <v>1</v>
      </c>
      <c r="C6" s="158"/>
      <c r="D6" s="157" t="s">
        <v>2</v>
      </c>
      <c r="E6" s="158"/>
      <c r="F6" s="1" t="s">
        <v>17</v>
      </c>
      <c r="G6" s="2" t="s">
        <v>17</v>
      </c>
      <c r="H6" s="3" t="s">
        <v>17</v>
      </c>
      <c r="I6" s="4" t="s">
        <v>17</v>
      </c>
      <c r="J6" s="5" t="s">
        <v>17</v>
      </c>
      <c r="K6" s="120" t="s">
        <v>22</v>
      </c>
      <c r="L6" s="117"/>
      <c r="N6" s="122"/>
    </row>
    <row r="7" spans="1:12" ht="21">
      <c r="A7" s="156"/>
      <c r="B7" s="159"/>
      <c r="C7" s="160"/>
      <c r="D7" s="159"/>
      <c r="E7" s="160"/>
      <c r="F7" s="6" t="s">
        <v>3</v>
      </c>
      <c r="G7" s="7" t="s">
        <v>18</v>
      </c>
      <c r="H7" s="8" t="s">
        <v>5</v>
      </c>
      <c r="I7" s="9" t="s">
        <v>20</v>
      </c>
      <c r="J7" s="10" t="s">
        <v>36</v>
      </c>
      <c r="K7" s="11" t="s">
        <v>6</v>
      </c>
      <c r="L7" s="118" t="s">
        <v>32</v>
      </c>
    </row>
    <row r="8" spans="1:12" ht="21">
      <c r="A8" s="156"/>
      <c r="B8" s="161"/>
      <c r="C8" s="162"/>
      <c r="D8" s="161"/>
      <c r="E8" s="162"/>
      <c r="F8" s="12" t="s">
        <v>4</v>
      </c>
      <c r="G8" s="13" t="s">
        <v>19</v>
      </c>
      <c r="H8" s="14"/>
      <c r="I8" s="13"/>
      <c r="J8" s="15"/>
      <c r="K8" s="16" t="s">
        <v>21</v>
      </c>
      <c r="L8" s="119"/>
    </row>
    <row r="9" spans="1:12" ht="21">
      <c r="A9" s="17" t="s">
        <v>7</v>
      </c>
      <c r="B9" s="18"/>
      <c r="C9" s="24"/>
      <c r="D9" s="18"/>
      <c r="E9" s="19"/>
      <c r="F9" s="20"/>
      <c r="G9" s="21"/>
      <c r="H9" s="21"/>
      <c r="I9" s="21"/>
      <c r="J9" s="22"/>
      <c r="K9" s="21"/>
      <c r="L9" s="21"/>
    </row>
    <row r="10" spans="1:13" ht="21">
      <c r="A10" s="23" t="s">
        <v>34</v>
      </c>
      <c r="B10" s="20">
        <v>10331488</v>
      </c>
      <c r="C10" s="26" t="s">
        <v>69</v>
      </c>
      <c r="D10" s="20">
        <v>7648513</v>
      </c>
      <c r="E10" s="25">
        <v>15</v>
      </c>
      <c r="F10" s="22">
        <f>867635.28+881550-150+891502+893521.4</f>
        <v>3534058.68</v>
      </c>
      <c r="G10" s="21">
        <f>217620+203582.48+194154+192766</f>
        <v>808122.48</v>
      </c>
      <c r="H10" s="21">
        <f>240330+230260.76+243240+243240</f>
        <v>957070.76</v>
      </c>
      <c r="I10" s="21">
        <f>206010+197263.24+207630+223500.79</f>
        <v>834404.03</v>
      </c>
      <c r="J10" s="27">
        <f>388835.82+358836.2+375270+391915.18</f>
        <v>1514857.2</v>
      </c>
      <c r="K10" s="24" t="s">
        <v>30</v>
      </c>
      <c r="L10" s="24" t="s">
        <v>30</v>
      </c>
      <c r="M10" s="121"/>
    </row>
    <row r="11" spans="1:13" ht="21">
      <c r="A11" s="23" t="s">
        <v>35</v>
      </c>
      <c r="B11" s="20">
        <v>2433600</v>
      </c>
      <c r="C11" s="26" t="s">
        <v>30</v>
      </c>
      <c r="D11" s="20">
        <f>SUM(F11)</f>
        <v>2433600</v>
      </c>
      <c r="E11" s="25" t="s">
        <v>30</v>
      </c>
      <c r="F11" s="22">
        <f>608400+608400+608400+608400</f>
        <v>2433600</v>
      </c>
      <c r="G11" s="24" t="s">
        <v>30</v>
      </c>
      <c r="H11" s="24" t="s">
        <v>30</v>
      </c>
      <c r="I11" s="24" t="s">
        <v>30</v>
      </c>
      <c r="J11" s="25" t="s">
        <v>30</v>
      </c>
      <c r="K11" s="24" t="s">
        <v>30</v>
      </c>
      <c r="L11" s="24" t="s">
        <v>30</v>
      </c>
      <c r="M11" s="121"/>
    </row>
    <row r="12" spans="1:13" ht="21">
      <c r="A12" s="23" t="s">
        <v>8</v>
      </c>
      <c r="B12" s="20">
        <v>3985750</v>
      </c>
      <c r="C12" s="26">
        <v>58</v>
      </c>
      <c r="D12" s="20">
        <v>3534053</v>
      </c>
      <c r="E12" s="25">
        <v>78</v>
      </c>
      <c r="F12" s="22">
        <f>116171.85+350512.5+83167.5+123628+5115+861614.87+505300</f>
        <v>2045509.72</v>
      </c>
      <c r="G12" s="24">
        <f>545+16545+247212.18</f>
        <v>264302.18</v>
      </c>
      <c r="H12" s="21">
        <f>3287+2480+2200+345328.02</f>
        <v>353295.02</v>
      </c>
      <c r="I12" s="21">
        <f>2105+2480+7593+713.5+297305.2</f>
        <v>310196.7</v>
      </c>
      <c r="J12" s="25">
        <f>10933+23449+4212+18392-5115+508879.16</f>
        <v>560750.1599999999</v>
      </c>
      <c r="K12" s="24" t="s">
        <v>30</v>
      </c>
      <c r="L12" s="24" t="s">
        <v>30</v>
      </c>
      <c r="M12" s="121"/>
    </row>
    <row r="13" spans="1:13" ht="21">
      <c r="A13" s="23" t="s">
        <v>9</v>
      </c>
      <c r="B13" s="20">
        <v>4636449</v>
      </c>
      <c r="C13" s="26">
        <v>55</v>
      </c>
      <c r="D13" s="20">
        <v>3108116</v>
      </c>
      <c r="E13" s="26" t="s">
        <v>38</v>
      </c>
      <c r="F13" s="22">
        <f>789504.87+2350+215200+5400+6000</f>
        <v>1018454.87</v>
      </c>
      <c r="G13" s="21">
        <f>900+9380-4090-4090</f>
        <v>2100</v>
      </c>
      <c r="H13" s="21">
        <v>118000</v>
      </c>
      <c r="I13" s="24">
        <f>41625.88+14670+162395+133987.22</f>
        <v>352678.1</v>
      </c>
      <c r="J13" s="27">
        <f>267130+390+45740+352101-2350</f>
        <v>663011</v>
      </c>
      <c r="K13" s="24">
        <v>953873</v>
      </c>
      <c r="L13" s="24" t="s">
        <v>30</v>
      </c>
      <c r="M13" s="121"/>
    </row>
    <row r="14" spans="1:13" ht="21">
      <c r="A14" s="23" t="s">
        <v>10</v>
      </c>
      <c r="B14" s="20">
        <f>3280450-63870-39479+39479+63870+189913+37456.8-37456.8+10000+10000+20000+12957+2290+32000-13920-9000-1000+37036-37036+486-486+3693.65-3693.65+304-304+14811-14811+40000+13500+27893-27893+1811-1811+5105.65-5105.65+16906-16906+33552+80000</f>
        <v>3700742</v>
      </c>
      <c r="C14" s="26" t="s">
        <v>30</v>
      </c>
      <c r="D14" s="20">
        <v>3300163</v>
      </c>
      <c r="E14" s="26" t="s">
        <v>67</v>
      </c>
      <c r="F14" s="22">
        <f>142324.1+111626.6+115928.6+262697</f>
        <v>632576.3</v>
      </c>
      <c r="G14" s="21">
        <f>16820+11700+26072+100610</f>
        <v>155202</v>
      </c>
      <c r="H14" s="21">
        <f>380393.8+195733+408711+537171+113552</f>
        <v>1635560.8</v>
      </c>
      <c r="I14" s="24">
        <f>11498+93054.47+63072+144018</f>
        <v>311642.47</v>
      </c>
      <c r="J14" s="25">
        <f>41285+54178+76552+393166.8</f>
        <v>565181.8</v>
      </c>
      <c r="K14" s="24" t="s">
        <v>30</v>
      </c>
      <c r="L14" s="24" t="s">
        <v>30</v>
      </c>
      <c r="M14" s="121"/>
    </row>
    <row r="15" spans="1:13" ht="21">
      <c r="A15" s="23" t="s">
        <v>11</v>
      </c>
      <c r="B15" s="20">
        <v>440000</v>
      </c>
      <c r="C15" s="151"/>
      <c r="D15" s="20">
        <v>340670</v>
      </c>
      <c r="E15" s="26" t="s">
        <v>68</v>
      </c>
      <c r="F15" s="22">
        <v>315823.2</v>
      </c>
      <c r="G15" s="24" t="s">
        <v>30</v>
      </c>
      <c r="H15" s="22">
        <v>24847.46</v>
      </c>
      <c r="I15" s="24" t="s">
        <v>30</v>
      </c>
      <c r="J15" s="24" t="s">
        <v>30</v>
      </c>
      <c r="K15" s="24" t="s">
        <v>30</v>
      </c>
      <c r="L15" s="24" t="s">
        <v>30</v>
      </c>
      <c r="M15" s="121"/>
    </row>
    <row r="16" spans="1:13" ht="21">
      <c r="A16" s="23" t="s">
        <v>12</v>
      </c>
      <c r="B16" s="20">
        <v>1391981</v>
      </c>
      <c r="C16" s="26">
        <v>37</v>
      </c>
      <c r="D16" s="20">
        <f>SUM(F16:K16)</f>
        <v>1391981.37</v>
      </c>
      <c r="E16" s="25">
        <v>37</v>
      </c>
      <c r="F16" s="24">
        <f>35000+35000+111070-86070</f>
        <v>95000</v>
      </c>
      <c r="G16" s="24" t="s">
        <v>30</v>
      </c>
      <c r="H16" s="24">
        <f>354000+589000</f>
        <v>943000</v>
      </c>
      <c r="I16" s="24">
        <v>193981.37</v>
      </c>
      <c r="J16" s="24">
        <v>100000</v>
      </c>
      <c r="K16" s="27">
        <f>40000+10000+10000</f>
        <v>60000</v>
      </c>
      <c r="L16" s="24" t="s">
        <v>30</v>
      </c>
      <c r="M16" s="121"/>
    </row>
    <row r="17" spans="1:13" ht="21">
      <c r="A17" s="23" t="s">
        <v>13</v>
      </c>
      <c r="B17" s="25">
        <f>3068899+12980-12980+29149+30000+43401-43401+6000-6000+1505+25000-25000+7700</f>
        <v>3137253</v>
      </c>
      <c r="C17" s="26" t="s">
        <v>30</v>
      </c>
      <c r="D17" s="20">
        <v>2845241</v>
      </c>
      <c r="E17" s="26">
        <v>60</v>
      </c>
      <c r="F17" s="24" t="s">
        <v>30</v>
      </c>
      <c r="G17" s="24" t="s">
        <v>30</v>
      </c>
      <c r="H17" s="24" t="s">
        <v>30</v>
      </c>
      <c r="I17" s="24" t="s">
        <v>30</v>
      </c>
      <c r="J17" s="24" t="s">
        <v>30</v>
      </c>
      <c r="K17" s="24" t="s">
        <v>30</v>
      </c>
      <c r="L17" s="24">
        <f>1201560.6+548820+384300+710561</f>
        <v>2845241.6</v>
      </c>
      <c r="M17" s="121"/>
    </row>
    <row r="18" spans="1:13" ht="21">
      <c r="A18" s="23" t="s">
        <v>14</v>
      </c>
      <c r="B18" s="20">
        <v>7200686</v>
      </c>
      <c r="C18" s="26" t="s">
        <v>47</v>
      </c>
      <c r="D18" s="25">
        <v>7110351</v>
      </c>
      <c r="E18" s="25">
        <v>45</v>
      </c>
      <c r="F18" s="24">
        <f>74600+130716.45</f>
        <v>205316.45</v>
      </c>
      <c r="G18" s="24">
        <v>43910</v>
      </c>
      <c r="H18" s="27">
        <f>14250+32000+50000+1000000</f>
        <v>1096250</v>
      </c>
      <c r="I18" s="24">
        <f>27000+2304550+860000</f>
        <v>3191550</v>
      </c>
      <c r="J18" s="24">
        <f>9190+1968135</f>
        <v>1977325</v>
      </c>
      <c r="K18" s="24">
        <v>596000</v>
      </c>
      <c r="L18" s="24" t="s">
        <v>30</v>
      </c>
      <c r="M18" s="121"/>
    </row>
    <row r="19" spans="1:13" ht="21">
      <c r="A19" s="23" t="s">
        <v>15</v>
      </c>
      <c r="B19" s="25">
        <v>8595000</v>
      </c>
      <c r="C19" s="26" t="s">
        <v>30</v>
      </c>
      <c r="D19" s="25">
        <f>SUM(F19:L19)</f>
        <v>8563000</v>
      </c>
      <c r="E19" s="25" t="s">
        <v>30</v>
      </c>
      <c r="F19" s="24" t="s">
        <v>30</v>
      </c>
      <c r="G19" s="24" t="s">
        <v>30</v>
      </c>
      <c r="H19" s="24" t="s">
        <v>30</v>
      </c>
      <c r="I19" s="24">
        <v>8563000</v>
      </c>
      <c r="J19" s="24" t="s">
        <v>30</v>
      </c>
      <c r="K19" s="24" t="s">
        <v>30</v>
      </c>
      <c r="L19" s="24" t="s">
        <v>30</v>
      </c>
      <c r="M19" s="121"/>
    </row>
    <row r="20" spans="1:13" ht="21">
      <c r="A20" s="23" t="s">
        <v>37</v>
      </c>
      <c r="B20" s="20">
        <v>30000</v>
      </c>
      <c r="C20" s="26" t="s">
        <v>30</v>
      </c>
      <c r="D20" s="25">
        <f>SUM(F20)</f>
        <v>25000</v>
      </c>
      <c r="E20" s="25" t="s">
        <v>30</v>
      </c>
      <c r="F20" s="24">
        <v>25000</v>
      </c>
      <c r="G20" s="24" t="s">
        <v>30</v>
      </c>
      <c r="H20" s="24" t="s">
        <v>30</v>
      </c>
      <c r="I20" s="24" t="s">
        <v>30</v>
      </c>
      <c r="J20" s="24" t="s">
        <v>30</v>
      </c>
      <c r="K20" s="24" t="s">
        <v>30</v>
      </c>
      <c r="L20" s="24" t="s">
        <v>30</v>
      </c>
      <c r="M20" s="121"/>
    </row>
    <row r="21" spans="1:12" ht="21">
      <c r="A21" s="23"/>
      <c r="B21" s="113"/>
      <c r="C21" s="26"/>
      <c r="D21" s="113"/>
      <c r="E21" s="113"/>
      <c r="F21" s="113"/>
      <c r="G21" s="4"/>
      <c r="H21" s="4"/>
      <c r="I21" s="4"/>
      <c r="J21" s="4"/>
      <c r="K21" s="4"/>
      <c r="L21" s="4"/>
    </row>
    <row r="22" spans="1:14" ht="21.75" thickBot="1">
      <c r="A22" s="28" t="s">
        <v>2</v>
      </c>
      <c r="B22" s="29">
        <v>45882951</v>
      </c>
      <c r="C22" s="152" t="s">
        <v>30</v>
      </c>
      <c r="D22" s="29">
        <v>40300692</v>
      </c>
      <c r="E22" s="30">
        <v>35</v>
      </c>
      <c r="F22" s="31">
        <f>SUM(F10:F20)</f>
        <v>10305339.219999999</v>
      </c>
      <c r="G22" s="31">
        <f aca="true" t="shared" si="0" ref="G22:L22">SUM(G10:G20)</f>
        <v>1273636.66</v>
      </c>
      <c r="H22" s="31">
        <f t="shared" si="0"/>
        <v>5128024.04</v>
      </c>
      <c r="I22" s="31">
        <f t="shared" si="0"/>
        <v>13757452.67</v>
      </c>
      <c r="J22" s="31">
        <f t="shared" si="0"/>
        <v>5381125.16</v>
      </c>
      <c r="K22" s="31">
        <f t="shared" si="0"/>
        <v>1609873</v>
      </c>
      <c r="L22" s="31">
        <f t="shared" si="0"/>
        <v>2845241.6</v>
      </c>
      <c r="M22" s="121"/>
      <c r="N22" s="121"/>
    </row>
    <row r="23" ht="13.5" thickTop="1"/>
    <row r="24" spans="1:13" ht="12.75">
      <c r="A24" s="121"/>
      <c r="M24" s="121"/>
    </row>
    <row r="25" ht="12.75">
      <c r="A25" s="122"/>
    </row>
    <row r="26" ht="12.75">
      <c r="D26" s="122"/>
    </row>
    <row r="28" ht="12.75">
      <c r="A28" s="122"/>
    </row>
    <row r="29" ht="12.75">
      <c r="A29" s="122"/>
    </row>
    <row r="30" ht="12.75">
      <c r="A30" s="153"/>
    </row>
    <row r="33" ht="12.75">
      <c r="A33" s="121"/>
    </row>
    <row r="35" ht="12.75">
      <c r="A35" s="121"/>
    </row>
  </sheetData>
  <sheetProtection/>
  <mergeCells count="6">
    <mergeCell ref="A3:L3"/>
    <mergeCell ref="A4:L4"/>
    <mergeCell ref="A5:L5"/>
    <mergeCell ref="A6:A8"/>
    <mergeCell ref="B6:C8"/>
    <mergeCell ref="D6:E8"/>
  </mergeCells>
  <printOptions horizontalCentered="1"/>
  <pageMargins left="0.3937007874015748" right="0.3937007874015748" top="0.7874015748031497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0"/>
  <sheetViews>
    <sheetView zoomScalePageLayoutView="0" workbookViewId="0" topLeftCell="A10">
      <selection activeCell="B43" sqref="B43"/>
    </sheetView>
  </sheetViews>
  <sheetFormatPr defaultColWidth="9.140625" defaultRowHeight="12.75"/>
  <cols>
    <col min="1" max="1" width="34.57421875" style="0" customWidth="1"/>
    <col min="2" max="2" width="14.57421875" style="0" customWidth="1"/>
    <col min="3" max="3" width="15.8515625" style="0" customWidth="1"/>
    <col min="4" max="4" width="25.57421875" style="108" customWidth="1"/>
    <col min="5" max="5" width="32.421875" style="0" customWidth="1"/>
    <col min="7" max="7" width="10.28125" style="0" bestFit="1" customWidth="1"/>
  </cols>
  <sheetData>
    <row r="4" spans="1:5" ht="23.25">
      <c r="A4" s="163" t="s">
        <v>33</v>
      </c>
      <c r="B4" s="163"/>
      <c r="C4" s="163"/>
      <c r="D4" s="163"/>
      <c r="E4" s="163"/>
    </row>
    <row r="5" spans="1:5" ht="23.25">
      <c r="A5" s="163" t="s">
        <v>50</v>
      </c>
      <c r="B5" s="163"/>
      <c r="C5" s="163"/>
      <c r="D5" s="163"/>
      <c r="E5" s="163"/>
    </row>
    <row r="6" spans="1:5" ht="23.25">
      <c r="A6" s="164" t="s">
        <v>49</v>
      </c>
      <c r="B6" s="164"/>
      <c r="C6" s="164"/>
      <c r="D6" s="164"/>
      <c r="E6" s="164"/>
    </row>
    <row r="7" spans="1:5" ht="23.25">
      <c r="A7" s="165" t="s">
        <v>0</v>
      </c>
      <c r="B7" s="166" t="s">
        <v>1</v>
      </c>
      <c r="C7" s="167" t="s">
        <v>2</v>
      </c>
      <c r="D7" s="33"/>
      <c r="E7" s="34"/>
    </row>
    <row r="8" spans="1:5" ht="23.25">
      <c r="A8" s="165"/>
      <c r="B8" s="166"/>
      <c r="C8" s="167"/>
      <c r="D8" s="35" t="s">
        <v>23</v>
      </c>
      <c r="E8" s="36" t="s">
        <v>24</v>
      </c>
    </row>
    <row r="9" spans="1:5" ht="23.25">
      <c r="A9" s="165"/>
      <c r="B9" s="166"/>
      <c r="C9" s="167"/>
      <c r="D9" s="37"/>
      <c r="E9" s="38"/>
    </row>
    <row r="10" spans="1:5" ht="23.25">
      <c r="A10" s="109" t="s">
        <v>7</v>
      </c>
      <c r="B10" s="111"/>
      <c r="C10" s="110"/>
      <c r="D10" s="107"/>
      <c r="E10" s="39"/>
    </row>
    <row r="11" spans="1:6" ht="23.25">
      <c r="A11" s="23" t="s">
        <v>34</v>
      </c>
      <c r="B11" s="112">
        <f>5244960+4080-4080-163335.87-12488.35-1506-20353-29013-184947</f>
        <v>4833316.78</v>
      </c>
      <c r="C11" s="41">
        <f>SUM(D11:E11)</f>
        <v>3534058.68</v>
      </c>
      <c r="D11" s="41">
        <f>536280+522403.24-150+542370+543375</f>
        <v>2144278.24</v>
      </c>
      <c r="E11" s="41">
        <f>345232.04+345270+349132+350146.4</f>
        <v>1389780.44</v>
      </c>
      <c r="F11" s="140"/>
    </row>
    <row r="12" spans="1:5" ht="23.25">
      <c r="A12" s="23" t="s">
        <v>35</v>
      </c>
      <c r="B12" s="112">
        <v>2433600</v>
      </c>
      <c r="C12" s="41">
        <f aca="true" t="shared" si="0" ref="C12:C21">SUM(D12:E12)</f>
        <v>2433600</v>
      </c>
      <c r="D12" s="40">
        <f>608400+608400+608400+608400</f>
        <v>2433600</v>
      </c>
      <c r="E12" s="40" t="s">
        <v>30</v>
      </c>
    </row>
    <row r="13" spans="1:7" ht="23.25">
      <c r="A13" s="23" t="s">
        <v>8</v>
      </c>
      <c r="B13" s="149">
        <f>1689266+40000+5000-5000+11600-11600+10000-10000+184947+163335.87+12488.35+1506+20353+29013</f>
        <v>2140909.22</v>
      </c>
      <c r="C13" s="41">
        <f t="shared" si="0"/>
        <v>2045509.72</v>
      </c>
      <c r="D13" s="40">
        <f>93097.85+300831+69588.5+80116+5115+861614.87</f>
        <v>1410363.22</v>
      </c>
      <c r="E13" s="40">
        <f>23074+49681.5+13579+43512+505300</f>
        <v>635146.5</v>
      </c>
      <c r="G13" s="123"/>
    </row>
    <row r="14" spans="1:6" ht="23.25">
      <c r="A14" s="23" t="s">
        <v>9</v>
      </c>
      <c r="B14" s="41">
        <f>2475000-302149-1505-7700-10166.45</f>
        <v>2153479.55</v>
      </c>
      <c r="C14" s="41">
        <f t="shared" si="0"/>
        <v>1018454.87</v>
      </c>
      <c r="D14" s="42">
        <f>33527+108224.6-1000+116344.92+14700+418663.75-10120+9000+4090+4090+2350+215200+5400+6000</f>
        <v>926470.27</v>
      </c>
      <c r="E14" s="40">
        <f>6916+3470+39397+42201.6</f>
        <v>91984.6</v>
      </c>
      <c r="F14" s="140"/>
    </row>
    <row r="15" spans="1:5" ht="23.25">
      <c r="A15" s="23" t="s">
        <v>10</v>
      </c>
      <c r="B15" s="43">
        <f>693890+39479-39479+63870+486-486+3693.65-3693.65+27893-27893+5105.65-5105.65+16906-16906</f>
        <v>757760</v>
      </c>
      <c r="C15" s="41">
        <f t="shared" si="0"/>
        <v>632576.3</v>
      </c>
      <c r="D15" s="42">
        <f>87067.05+91707+103057.6+180037+4444</f>
        <v>466312.65</v>
      </c>
      <c r="E15" s="42">
        <f>55257.05+19919.6+12871+82660-4444</f>
        <v>166263.65</v>
      </c>
    </row>
    <row r="16" spans="1:5" ht="23.25">
      <c r="A16" s="23" t="s">
        <v>11</v>
      </c>
      <c r="B16" s="40">
        <v>370000</v>
      </c>
      <c r="C16" s="41">
        <f t="shared" si="0"/>
        <v>315823.2</v>
      </c>
      <c r="D16" s="40">
        <f>41665.04+72958.56+51757.45+142113.21+244.14</f>
        <v>308738.4</v>
      </c>
      <c r="E16" s="40">
        <f>1373.7+2406.1+1957+1348</f>
        <v>7084.8</v>
      </c>
    </row>
    <row r="17" spans="1:5" ht="23.25">
      <c r="A17" s="23" t="s">
        <v>12</v>
      </c>
      <c r="B17" s="40">
        <f>95000</f>
        <v>95000</v>
      </c>
      <c r="C17" s="41">
        <f t="shared" si="0"/>
        <v>95000</v>
      </c>
      <c r="D17" s="40">
        <f>35000+35000+25000</f>
        <v>95000</v>
      </c>
      <c r="E17" s="40"/>
    </row>
    <row r="18" spans="1:5" ht="23.25">
      <c r="A18" s="23" t="s">
        <v>13</v>
      </c>
      <c r="B18" s="40"/>
      <c r="C18" s="41">
        <f t="shared" si="0"/>
        <v>0</v>
      </c>
      <c r="D18" s="40"/>
      <c r="E18" s="40" t="s">
        <v>16</v>
      </c>
    </row>
    <row r="19" spans="1:5" ht="23.25">
      <c r="A19" s="23" t="s">
        <v>14</v>
      </c>
      <c r="B19" s="40">
        <f>210000+10166.45</f>
        <v>220166.45</v>
      </c>
      <c r="C19" s="41">
        <f t="shared" si="0"/>
        <v>205316.45</v>
      </c>
      <c r="D19" s="40">
        <f>65000+12650</f>
        <v>77650</v>
      </c>
      <c r="E19" s="40">
        <f>9600+118066.45</f>
        <v>127666.45</v>
      </c>
    </row>
    <row r="20" spans="1:5" ht="23.25">
      <c r="A20" s="23" t="s">
        <v>15</v>
      </c>
      <c r="B20" s="40" t="s">
        <v>16</v>
      </c>
      <c r="C20" s="41">
        <f t="shared" si="0"/>
        <v>0</v>
      </c>
      <c r="D20" s="40" t="s">
        <v>16</v>
      </c>
      <c r="E20" s="40" t="s">
        <v>16</v>
      </c>
    </row>
    <row r="21" spans="1:5" ht="23.25">
      <c r="A21" s="23" t="s">
        <v>37</v>
      </c>
      <c r="B21" s="40">
        <v>30000</v>
      </c>
      <c r="C21" s="41">
        <f t="shared" si="0"/>
        <v>25000</v>
      </c>
      <c r="D21" s="40">
        <v>25000</v>
      </c>
      <c r="E21" s="40"/>
    </row>
    <row r="22" spans="1:5" ht="24" thickBot="1">
      <c r="A22" s="32" t="s">
        <v>2</v>
      </c>
      <c r="B22" s="44">
        <f>SUM(B11:B21)</f>
        <v>13034232</v>
      </c>
      <c r="C22" s="44">
        <f>SUM(D22:E22)</f>
        <v>10305339.22</v>
      </c>
      <c r="D22" s="44">
        <f>SUM(D11:D21)</f>
        <v>7887412.780000001</v>
      </c>
      <c r="E22" s="44">
        <f>SUM(E11:E21)</f>
        <v>2417926.44</v>
      </c>
    </row>
    <row r="23" ht="13.5" thickTop="1"/>
    <row r="24" spans="1:2" ht="23.25">
      <c r="A24" s="142"/>
      <c r="B24" s="150"/>
    </row>
    <row r="26" ht="12.75">
      <c r="B26" s="123"/>
    </row>
    <row r="27" spans="1:2" ht="12.75">
      <c r="A27" s="140"/>
      <c r="B27" s="141"/>
    </row>
    <row r="30" ht="12.75">
      <c r="A30" s="148"/>
    </row>
  </sheetData>
  <sheetProtection/>
  <mergeCells count="6">
    <mergeCell ref="A4:E4"/>
    <mergeCell ref="A5:E5"/>
    <mergeCell ref="A6:E6"/>
    <mergeCell ref="A7:A9"/>
    <mergeCell ref="B7:B9"/>
    <mergeCell ref="C7:C9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25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6.28125" style="0" customWidth="1"/>
    <col min="2" max="2" width="15.421875" style="0" customWidth="1"/>
    <col min="3" max="3" width="17.57421875" style="0" customWidth="1"/>
    <col min="4" max="4" width="56.7109375" style="0" customWidth="1"/>
  </cols>
  <sheetData>
    <row r="4" spans="1:4" ht="23.25">
      <c r="A4" s="163" t="s">
        <v>31</v>
      </c>
      <c r="B4" s="163"/>
      <c r="C4" s="163"/>
      <c r="D4" s="163"/>
    </row>
    <row r="5" spans="1:4" ht="23.25">
      <c r="A5" s="163" t="s">
        <v>51</v>
      </c>
      <c r="B5" s="163"/>
      <c r="C5" s="163"/>
      <c r="D5" s="163"/>
    </row>
    <row r="6" spans="1:4" ht="23.25">
      <c r="A6" s="164" t="s">
        <v>49</v>
      </c>
      <c r="B6" s="164"/>
      <c r="C6" s="164"/>
      <c r="D6" s="164"/>
    </row>
    <row r="7" spans="1:4" ht="23.25">
      <c r="A7" s="168" t="s">
        <v>0</v>
      </c>
      <c r="B7" s="169" t="s">
        <v>1</v>
      </c>
      <c r="C7" s="170" t="s">
        <v>2</v>
      </c>
      <c r="D7" s="45"/>
    </row>
    <row r="8" spans="1:4" ht="23.25">
      <c r="A8" s="168"/>
      <c r="B8" s="169"/>
      <c r="C8" s="170"/>
      <c r="D8" s="46" t="s">
        <v>23</v>
      </c>
    </row>
    <row r="9" spans="1:4" ht="23.25">
      <c r="A9" s="168"/>
      <c r="B9" s="169"/>
      <c r="C9" s="170"/>
      <c r="D9" s="47" t="s">
        <v>25</v>
      </c>
    </row>
    <row r="10" spans="1:4" ht="23.25">
      <c r="A10" s="48" t="s">
        <v>7</v>
      </c>
      <c r="B10" s="49"/>
      <c r="C10" s="50"/>
      <c r="D10" s="49"/>
    </row>
    <row r="11" spans="1:4" ht="23.25">
      <c r="A11" s="23" t="s">
        <v>34</v>
      </c>
      <c r="B11" s="51">
        <f>1083060-5451.18-8286</f>
        <v>1069322.82</v>
      </c>
      <c r="C11" s="51">
        <f>SUM(D11)</f>
        <v>808122.48</v>
      </c>
      <c r="D11" s="51">
        <f>217620+203582.48+194154+192766</f>
        <v>808122.48</v>
      </c>
    </row>
    <row r="12" spans="1:4" ht="23.25">
      <c r="A12" s="23" t="s">
        <v>8</v>
      </c>
      <c r="B12" s="51">
        <f>338475+5451.18+8286</f>
        <v>352212.18</v>
      </c>
      <c r="C12" s="51">
        <f>SUM(D12)</f>
        <v>264302.18</v>
      </c>
      <c r="D12" s="51">
        <f>16545+545+247212.18</f>
        <v>264302.18</v>
      </c>
    </row>
    <row r="13" spans="1:4" ht="23.25">
      <c r="A13" s="23" t="s">
        <v>9</v>
      </c>
      <c r="B13" s="51">
        <v>110000</v>
      </c>
      <c r="C13" s="51">
        <f>SUM(D13)</f>
        <v>2100</v>
      </c>
      <c r="D13" s="51">
        <f>900+9380-4090-4090</f>
        <v>2100</v>
      </c>
    </row>
    <row r="14" spans="1:4" ht="23.25">
      <c r="A14" s="23" t="s">
        <v>10</v>
      </c>
      <c r="B14" s="51">
        <f>295000-13920</f>
        <v>281080</v>
      </c>
      <c r="C14" s="51">
        <f>SUM(D14)</f>
        <v>155202</v>
      </c>
      <c r="D14" s="51">
        <f>16820+11700+26072+100610</f>
        <v>155202</v>
      </c>
    </row>
    <row r="15" spans="1:4" ht="23.25">
      <c r="A15" s="23" t="s">
        <v>11</v>
      </c>
      <c r="B15" s="114" t="s">
        <v>30</v>
      </c>
      <c r="C15" s="114" t="s">
        <v>30</v>
      </c>
      <c r="D15" s="51"/>
    </row>
    <row r="16" spans="1:4" ht="23.25">
      <c r="A16" s="23" t="s">
        <v>12</v>
      </c>
      <c r="B16" s="114" t="s">
        <v>30</v>
      </c>
      <c r="C16" s="114" t="s">
        <v>30</v>
      </c>
      <c r="D16" s="51"/>
    </row>
    <row r="17" spans="1:4" ht="23.25">
      <c r="A17" s="23" t="s">
        <v>13</v>
      </c>
      <c r="B17" s="114" t="s">
        <v>30</v>
      </c>
      <c r="C17" s="114" t="s">
        <v>30</v>
      </c>
      <c r="D17" s="51"/>
    </row>
    <row r="18" spans="1:4" ht="23.25">
      <c r="A18" s="23" t="s">
        <v>14</v>
      </c>
      <c r="B18" s="51">
        <f>33000+13920</f>
        <v>46920</v>
      </c>
      <c r="C18" s="114">
        <f>SUM(D18)</f>
        <v>43910</v>
      </c>
      <c r="D18" s="51">
        <v>43910</v>
      </c>
    </row>
    <row r="19" spans="1:4" ht="23.25">
      <c r="A19" s="23" t="s">
        <v>15</v>
      </c>
      <c r="B19" s="114" t="s">
        <v>30</v>
      </c>
      <c r="C19" s="114" t="s">
        <v>30</v>
      </c>
      <c r="D19" s="51"/>
    </row>
    <row r="20" spans="1:4" ht="23.25">
      <c r="A20" s="23" t="s">
        <v>37</v>
      </c>
      <c r="B20" s="114" t="s">
        <v>30</v>
      </c>
      <c r="C20" s="114" t="s">
        <v>30</v>
      </c>
      <c r="D20" s="51"/>
    </row>
    <row r="21" spans="1:4" ht="23.25">
      <c r="A21" s="53"/>
      <c r="B21" s="114" t="s">
        <v>30</v>
      </c>
      <c r="C21" s="114" t="s">
        <v>30</v>
      </c>
      <c r="D21" s="54"/>
    </row>
    <row r="22" spans="1:4" ht="23.25">
      <c r="A22" s="53"/>
      <c r="B22" s="52"/>
      <c r="C22" s="114" t="s">
        <v>30</v>
      </c>
      <c r="D22" s="54"/>
    </row>
    <row r="23" spans="1:4" ht="24" thickBot="1">
      <c r="A23" s="55" t="s">
        <v>2</v>
      </c>
      <c r="B23" s="56">
        <f>SUM(B11:B22)</f>
        <v>1859535</v>
      </c>
      <c r="C23" s="130">
        <f>SUM(C11:C22)</f>
        <v>1273636.66</v>
      </c>
      <c r="D23" s="56">
        <f>SUM(D11:D22)</f>
        <v>1273636.66</v>
      </c>
    </row>
    <row r="24" ht="13.5" thickTop="1"/>
    <row r="25" ht="12.75">
      <c r="B25" s="124"/>
    </row>
  </sheetData>
  <sheetProtection/>
  <mergeCells count="6">
    <mergeCell ref="A4:D4"/>
    <mergeCell ref="A5:D5"/>
    <mergeCell ref="A6:D6"/>
    <mergeCell ref="A7:A9"/>
    <mergeCell ref="B7:B9"/>
    <mergeCell ref="C7:C9"/>
  </mergeCells>
  <printOptions horizontalCentered="1"/>
  <pageMargins left="0.7480314960629921" right="0.7480314960629921" top="0.984251968503937" bottom="0.393700787401574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7.00390625" style="0" customWidth="1"/>
    <col min="2" max="2" width="16.421875" style="0" customWidth="1"/>
    <col min="3" max="3" width="18.140625" style="0" customWidth="1"/>
    <col min="4" max="4" width="59.28125" style="0" customWidth="1"/>
  </cols>
  <sheetData>
    <row r="3" spans="1:4" ht="23.25">
      <c r="A3" s="163" t="s">
        <v>31</v>
      </c>
      <c r="B3" s="163"/>
      <c r="C3" s="163"/>
      <c r="D3" s="163"/>
    </row>
    <row r="4" spans="1:4" ht="23.25">
      <c r="A4" s="163" t="s">
        <v>52</v>
      </c>
      <c r="B4" s="163"/>
      <c r="C4" s="163"/>
      <c r="D4" s="163"/>
    </row>
    <row r="5" spans="1:4" ht="23.25">
      <c r="A5" s="155" t="s">
        <v>49</v>
      </c>
      <c r="B5" s="155"/>
      <c r="C5" s="155"/>
      <c r="D5" s="155"/>
    </row>
    <row r="6" spans="1:4" ht="23.25">
      <c r="A6" s="171" t="s">
        <v>0</v>
      </c>
      <c r="B6" s="172" t="s">
        <v>1</v>
      </c>
      <c r="C6" s="174" t="s">
        <v>2</v>
      </c>
      <c r="D6" s="57"/>
    </row>
    <row r="7" spans="1:4" ht="23.25">
      <c r="A7" s="171"/>
      <c r="B7" s="172"/>
      <c r="C7" s="174"/>
      <c r="D7" s="58" t="s">
        <v>23</v>
      </c>
    </row>
    <row r="8" spans="1:4" ht="23.25">
      <c r="A8" s="171"/>
      <c r="B8" s="173"/>
      <c r="C8" s="175"/>
      <c r="D8" s="58" t="s">
        <v>26</v>
      </c>
    </row>
    <row r="9" spans="1:4" ht="23.25">
      <c r="A9" s="59" t="s">
        <v>7</v>
      </c>
      <c r="B9" s="60"/>
      <c r="C9" s="61"/>
      <c r="D9" s="60"/>
    </row>
    <row r="10" spans="1:6" ht="23.25">
      <c r="A10" s="23" t="s">
        <v>34</v>
      </c>
      <c r="B10" s="145">
        <f>1207800-85354.02-12414-33552-80000</f>
        <v>996479.98</v>
      </c>
      <c r="C10" s="64">
        <f>SUM(D10)</f>
        <v>957070.76</v>
      </c>
      <c r="D10" s="64">
        <f>230260.76+240330+243240+243240</f>
        <v>957070.76</v>
      </c>
      <c r="F10" s="146"/>
    </row>
    <row r="11" spans="1:5" ht="23.25">
      <c r="A11" s="23" t="s">
        <v>8</v>
      </c>
      <c r="B11" s="62">
        <f>396360-40000+85354.02+12414</f>
        <v>454128.02</v>
      </c>
      <c r="C11" s="64">
        <f aca="true" t="shared" si="0" ref="C11:C19">SUM(D11)</f>
        <v>353295.02</v>
      </c>
      <c r="D11" s="62">
        <f>2480+3287+2200+345328.02</f>
        <v>353295.02</v>
      </c>
      <c r="E11" s="147"/>
    </row>
    <row r="12" spans="1:4" ht="23.25">
      <c r="A12" s="23" t="s">
        <v>9</v>
      </c>
      <c r="B12" s="64">
        <f>410000-189913-10087-10000</f>
        <v>200000</v>
      </c>
      <c r="C12" s="64">
        <f t="shared" si="0"/>
        <v>118000</v>
      </c>
      <c r="D12" s="64">
        <f>7876+6576+36712+64536+2300</f>
        <v>118000</v>
      </c>
    </row>
    <row r="13" spans="1:4" ht="23.25">
      <c r="A13" s="23" t="s">
        <v>10</v>
      </c>
      <c r="B13" s="65">
        <f>1316560-37456.8-9000-1000+280-280+33552+80000+2290+12957+20000+10000+10000+37456.8+189913</f>
        <v>1665272</v>
      </c>
      <c r="C13" s="64">
        <f t="shared" si="0"/>
        <v>1635560.8</v>
      </c>
      <c r="D13" s="65">
        <f>380393.8+195733+408711+537171+113552</f>
        <v>1635560.8</v>
      </c>
    </row>
    <row r="14" spans="1:4" ht="23.25">
      <c r="A14" s="23" t="s">
        <v>11</v>
      </c>
      <c r="B14" s="64">
        <v>60000</v>
      </c>
      <c r="C14" s="64">
        <f t="shared" si="0"/>
        <v>24847.46</v>
      </c>
      <c r="D14" s="64">
        <f>8182.05+7221.62+4294.93+5393-244.14</f>
        <v>24847.46</v>
      </c>
    </row>
    <row r="15" spans="1:4" ht="23.25">
      <c r="A15" s="23" t="s">
        <v>12</v>
      </c>
      <c r="B15" s="64">
        <f>700000+243000</f>
        <v>943000</v>
      </c>
      <c r="C15" s="64">
        <f t="shared" si="0"/>
        <v>943000</v>
      </c>
      <c r="D15" s="64">
        <f>354000+589000</f>
        <v>943000</v>
      </c>
    </row>
    <row r="16" spans="1:4" ht="23.25">
      <c r="A16" s="23" t="s">
        <v>13</v>
      </c>
      <c r="B16" s="64" t="s">
        <v>30</v>
      </c>
      <c r="C16" s="64">
        <f t="shared" si="0"/>
        <v>0</v>
      </c>
      <c r="D16" s="115" t="s">
        <v>30</v>
      </c>
    </row>
    <row r="17" spans="1:4" ht="23.25">
      <c r="A17" s="23" t="s">
        <v>14</v>
      </c>
      <c r="B17" s="64">
        <v>1097000</v>
      </c>
      <c r="C17" s="64">
        <f t="shared" si="0"/>
        <v>1096250</v>
      </c>
      <c r="D17" s="64">
        <f>14250+32000+50000+1000000</f>
        <v>1096250</v>
      </c>
    </row>
    <row r="18" spans="1:4" ht="23.25">
      <c r="A18" s="23" t="s">
        <v>15</v>
      </c>
      <c r="B18" s="64" t="s">
        <v>30</v>
      </c>
      <c r="C18" s="64">
        <f t="shared" si="0"/>
        <v>0</v>
      </c>
      <c r="D18" s="115" t="s">
        <v>30</v>
      </c>
    </row>
    <row r="19" spans="1:4" ht="23.25">
      <c r="A19" s="23" t="s">
        <v>37</v>
      </c>
      <c r="B19" s="64" t="s">
        <v>30</v>
      </c>
      <c r="C19" s="64">
        <f t="shared" si="0"/>
        <v>0</v>
      </c>
      <c r="D19" s="115" t="s">
        <v>30</v>
      </c>
    </row>
    <row r="20" spans="1:4" ht="23.25">
      <c r="A20" s="63"/>
      <c r="B20" s="65"/>
      <c r="C20" s="66"/>
      <c r="D20" s="66"/>
    </row>
    <row r="21" spans="1:4" ht="23.25">
      <c r="A21" s="67"/>
      <c r="B21" s="65"/>
      <c r="C21" s="66"/>
      <c r="D21" s="66"/>
    </row>
    <row r="22" spans="1:4" ht="24" thickBot="1">
      <c r="A22" s="68" t="s">
        <v>2</v>
      </c>
      <c r="B22" s="69">
        <f>SUM(B10:B21)</f>
        <v>5415880</v>
      </c>
      <c r="C22" s="69">
        <f>SUM(C10:C21)</f>
        <v>5128024.04</v>
      </c>
      <c r="D22" s="69">
        <f>SUM(D10:D21)</f>
        <v>5128024.04</v>
      </c>
    </row>
    <row r="23" ht="13.5" thickTop="1"/>
  </sheetData>
  <sheetProtection/>
  <mergeCells count="6">
    <mergeCell ref="A3:D3"/>
    <mergeCell ref="A4:D4"/>
    <mergeCell ref="A5:D5"/>
    <mergeCell ref="A6:A8"/>
    <mergeCell ref="B6:B8"/>
    <mergeCell ref="C6:C8"/>
  </mergeCells>
  <printOptions horizontalCentered="1"/>
  <pageMargins left="0.7480314960629921" right="0.7480314960629921" top="0.984251968503937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2.421875" style="0" customWidth="1"/>
    <col min="2" max="2" width="15.421875" style="0" customWidth="1"/>
    <col min="3" max="3" width="15.28125" style="0" customWidth="1"/>
    <col min="4" max="4" width="20.8515625" style="0" customWidth="1"/>
    <col min="5" max="5" width="16.421875" style="0" customWidth="1"/>
    <col min="6" max="6" width="15.57421875" style="0" customWidth="1"/>
    <col min="7" max="7" width="16.00390625" style="0" customWidth="1"/>
  </cols>
  <sheetData>
    <row r="3" spans="1:7" ht="23.25">
      <c r="A3" s="176" t="s">
        <v>33</v>
      </c>
      <c r="B3" s="176"/>
      <c r="C3" s="176"/>
      <c r="D3" s="176"/>
      <c r="E3" s="176"/>
      <c r="F3" s="176"/>
      <c r="G3" s="176"/>
    </row>
    <row r="4" spans="1:7" ht="23.25">
      <c r="A4" s="176" t="s">
        <v>53</v>
      </c>
      <c r="B4" s="176"/>
      <c r="C4" s="176"/>
      <c r="D4" s="176"/>
      <c r="E4" s="176"/>
      <c r="F4" s="176"/>
      <c r="G4" s="176"/>
    </row>
    <row r="5" spans="1:7" ht="23.25">
      <c r="A5" s="177" t="s">
        <v>54</v>
      </c>
      <c r="B5" s="177"/>
      <c r="C5" s="177"/>
      <c r="D5" s="177"/>
      <c r="E5" s="177"/>
      <c r="F5" s="177"/>
      <c r="G5" s="177"/>
    </row>
    <row r="6" spans="1:7" ht="23.25">
      <c r="A6" s="178" t="s">
        <v>0</v>
      </c>
      <c r="B6" s="179" t="s">
        <v>1</v>
      </c>
      <c r="C6" s="180" t="s">
        <v>2</v>
      </c>
      <c r="D6" s="70"/>
      <c r="E6" s="70"/>
      <c r="F6" s="131" t="s">
        <v>55</v>
      </c>
      <c r="G6" s="136" t="s">
        <v>57</v>
      </c>
    </row>
    <row r="7" spans="1:7" ht="23.25">
      <c r="A7" s="178"/>
      <c r="B7" s="179"/>
      <c r="C7" s="180"/>
      <c r="D7" s="71" t="s">
        <v>23</v>
      </c>
      <c r="E7" s="72" t="s">
        <v>28</v>
      </c>
      <c r="F7" s="72" t="s">
        <v>56</v>
      </c>
      <c r="G7" s="137" t="s">
        <v>58</v>
      </c>
    </row>
    <row r="8" spans="1:7" ht="23.25">
      <c r="A8" s="178"/>
      <c r="B8" s="179"/>
      <c r="C8" s="180"/>
      <c r="D8" s="73" t="s">
        <v>27</v>
      </c>
      <c r="E8" s="73"/>
      <c r="F8" s="74"/>
      <c r="G8" s="138" t="s">
        <v>59</v>
      </c>
    </row>
    <row r="9" spans="1:7" ht="23.25">
      <c r="A9" s="75" t="s">
        <v>7</v>
      </c>
      <c r="B9" s="76"/>
      <c r="C9" s="77"/>
      <c r="D9" s="76"/>
      <c r="E9" s="76"/>
      <c r="F9" s="78"/>
      <c r="G9" s="132"/>
    </row>
    <row r="10" spans="1:7" ht="23.25">
      <c r="A10" s="134" t="s">
        <v>34</v>
      </c>
      <c r="B10" s="79">
        <f>1552900-99400-31530-70002.37+8880-8880-40000</f>
        <v>1311967.63</v>
      </c>
      <c r="C10" s="79">
        <f>SUM(D10)</f>
        <v>834404.03</v>
      </c>
      <c r="D10" s="79">
        <f>197263.24+206010+207630+223500.79</f>
        <v>834404.03</v>
      </c>
      <c r="E10" s="79"/>
      <c r="F10" s="79" t="s">
        <v>16</v>
      </c>
      <c r="G10" s="133"/>
    </row>
    <row r="11" spans="1:7" ht="23.25">
      <c r="A11" s="23" t="s">
        <v>8</v>
      </c>
      <c r="B11" s="79">
        <v>407322</v>
      </c>
      <c r="C11" s="79">
        <f aca="true" t="shared" si="0" ref="C11:C19">SUM(D11)</f>
        <v>310196.7</v>
      </c>
      <c r="D11" s="79">
        <f>2105+2480+7593+713.5+297305.2</f>
        <v>310196.7</v>
      </c>
      <c r="E11" s="79"/>
      <c r="F11" s="79" t="s">
        <v>16</v>
      </c>
      <c r="G11" s="135"/>
    </row>
    <row r="12" spans="1:7" ht="23.25">
      <c r="A12" s="23" t="s">
        <v>9</v>
      </c>
      <c r="B12" s="79">
        <f>175000+53000+99400+46368.1-46368.1+40000+31530</f>
        <v>398930</v>
      </c>
      <c r="C12" s="79">
        <f t="shared" si="0"/>
        <v>352678.1</v>
      </c>
      <c r="D12" s="79">
        <f>14670+41625.88+162395+133987.22</f>
        <v>352678.1</v>
      </c>
      <c r="E12" s="79"/>
      <c r="F12" s="79" t="s">
        <v>16</v>
      </c>
      <c r="G12" s="135"/>
    </row>
    <row r="13" spans="1:7" ht="23.25">
      <c r="A13" s="23" t="s">
        <v>10</v>
      </c>
      <c r="B13" s="81">
        <f>315000+32000+37036-37036+14811-14811+1811-1811</f>
        <v>347000</v>
      </c>
      <c r="C13" s="79">
        <f t="shared" si="0"/>
        <v>311642.47</v>
      </c>
      <c r="D13" s="82">
        <f>11498+93054.47+63072+144018</f>
        <v>311642.47</v>
      </c>
      <c r="E13" s="79"/>
      <c r="F13" s="79" t="s">
        <v>16</v>
      </c>
      <c r="G13" s="135"/>
    </row>
    <row r="14" spans="1:7" ht="23.25">
      <c r="A14" s="23" t="s">
        <v>11</v>
      </c>
      <c r="B14" s="83">
        <v>5000</v>
      </c>
      <c r="C14" s="79">
        <f t="shared" si="0"/>
        <v>0</v>
      </c>
      <c r="D14" s="116" t="s">
        <v>30</v>
      </c>
      <c r="E14" s="79"/>
      <c r="F14" s="79" t="s">
        <v>16</v>
      </c>
      <c r="G14" s="135"/>
    </row>
    <row r="15" spans="1:7" ht="23.25">
      <c r="A15" s="23" t="s">
        <v>12</v>
      </c>
      <c r="B15" s="79">
        <f>123979+70002.37</f>
        <v>193981.37</v>
      </c>
      <c r="C15" s="79">
        <f>SUM(D15)</f>
        <v>193981.37</v>
      </c>
      <c r="D15" s="116">
        <v>193981.37</v>
      </c>
      <c r="E15" s="79"/>
      <c r="F15" s="79" t="s">
        <v>16</v>
      </c>
      <c r="G15" s="135"/>
    </row>
    <row r="16" spans="1:7" ht="23.25">
      <c r="A16" s="23" t="s">
        <v>13</v>
      </c>
      <c r="B16" s="79" t="s">
        <v>30</v>
      </c>
      <c r="C16" s="79">
        <f t="shared" si="0"/>
        <v>0</v>
      </c>
      <c r="D16" s="116" t="s">
        <v>30</v>
      </c>
      <c r="E16" s="79"/>
      <c r="F16" s="79" t="s">
        <v>16</v>
      </c>
      <c r="G16" s="135"/>
    </row>
    <row r="17" spans="1:7" ht="23.25">
      <c r="A17" s="23" t="s">
        <v>14</v>
      </c>
      <c r="B17" s="79">
        <f>3331300-32000-53000</f>
        <v>3246300</v>
      </c>
      <c r="C17" s="79">
        <f t="shared" si="0"/>
        <v>3191550</v>
      </c>
      <c r="D17" s="116">
        <f>27000+2304550+860000</f>
        <v>3191550</v>
      </c>
      <c r="E17" s="79"/>
      <c r="F17" s="79" t="s">
        <v>16</v>
      </c>
      <c r="G17" s="135"/>
    </row>
    <row r="18" spans="1:7" ht="23.25">
      <c r="A18" s="23" t="s">
        <v>15</v>
      </c>
      <c r="B18" s="83">
        <v>8595000</v>
      </c>
      <c r="C18" s="79">
        <f>SUM(E18:G18)</f>
        <v>8563000</v>
      </c>
      <c r="D18" s="116" t="s">
        <v>30</v>
      </c>
      <c r="E18" s="79">
        <f>1000000+542000+640000</f>
        <v>2182000</v>
      </c>
      <c r="F18" s="79">
        <f>480000+800000+1180000+1975000</f>
        <v>4435000</v>
      </c>
      <c r="G18" s="139">
        <f>1946000</f>
        <v>1946000</v>
      </c>
    </row>
    <row r="19" spans="1:7" ht="23.25">
      <c r="A19" s="23" t="s">
        <v>37</v>
      </c>
      <c r="B19" s="83" t="s">
        <v>30</v>
      </c>
      <c r="C19" s="79">
        <f t="shared" si="0"/>
        <v>0</v>
      </c>
      <c r="D19" s="116" t="s">
        <v>30</v>
      </c>
      <c r="E19" s="79"/>
      <c r="F19" s="79" t="s">
        <v>16</v>
      </c>
      <c r="G19" s="135"/>
    </row>
    <row r="20" spans="1:7" ht="23.25">
      <c r="A20" s="80"/>
      <c r="B20" s="81"/>
      <c r="C20" s="84"/>
      <c r="D20" s="84"/>
      <c r="E20" s="84"/>
      <c r="F20" s="85"/>
      <c r="G20" s="135"/>
    </row>
    <row r="21" spans="1:7" ht="23.25">
      <c r="A21" s="86"/>
      <c r="B21" s="81"/>
      <c r="C21" s="84"/>
      <c r="D21" s="84"/>
      <c r="E21" s="84"/>
      <c r="F21" s="85"/>
      <c r="G21" s="135"/>
    </row>
    <row r="22" spans="1:7" ht="24" thickBot="1">
      <c r="A22" s="87" t="s">
        <v>2</v>
      </c>
      <c r="B22" s="88">
        <f aca="true" t="shared" si="1" ref="B22:G22">SUM(B10:B19)</f>
        <v>14505501</v>
      </c>
      <c r="C22" s="88">
        <f t="shared" si="1"/>
        <v>13757452.67</v>
      </c>
      <c r="D22" s="88">
        <f t="shared" si="1"/>
        <v>5194452.67</v>
      </c>
      <c r="E22" s="88">
        <f t="shared" si="1"/>
        <v>2182000</v>
      </c>
      <c r="F22" s="88">
        <f t="shared" si="1"/>
        <v>4435000</v>
      </c>
      <c r="G22" s="88">
        <f t="shared" si="1"/>
        <v>1946000</v>
      </c>
    </row>
    <row r="23" ht="13.5" thickTop="1"/>
    <row r="30" ht="23.25">
      <c r="A30" s="79"/>
    </row>
  </sheetData>
  <sheetProtection/>
  <mergeCells count="6">
    <mergeCell ref="A6:A8"/>
    <mergeCell ref="B6:B8"/>
    <mergeCell ref="C6:C8"/>
    <mergeCell ref="A3:G3"/>
    <mergeCell ref="A4:G4"/>
    <mergeCell ref="A5:G5"/>
  </mergeCells>
  <printOptions horizontalCentered="1"/>
  <pageMargins left="0.7480314960629921" right="0.7480314960629921" top="0.984251968503937" bottom="0.393700787401574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22">
      <selection activeCell="C31" sqref="C31"/>
    </sheetView>
  </sheetViews>
  <sheetFormatPr defaultColWidth="9.140625" defaultRowHeight="12.75"/>
  <cols>
    <col min="1" max="1" width="33.57421875" style="0" customWidth="1"/>
    <col min="2" max="2" width="15.421875" style="0" customWidth="1"/>
    <col min="3" max="3" width="15.28125" style="0" customWidth="1"/>
    <col min="4" max="4" width="53.57421875" style="0" customWidth="1"/>
    <col min="6" max="6" width="9.28125" style="0" bestFit="1" customWidth="1"/>
  </cols>
  <sheetData>
    <row r="3" spans="1:4" ht="23.25">
      <c r="A3" s="176" t="s">
        <v>33</v>
      </c>
      <c r="B3" s="176"/>
      <c r="C3" s="176"/>
      <c r="D3" s="176"/>
    </row>
    <row r="4" spans="1:4" ht="23.25">
      <c r="A4" s="176" t="s">
        <v>60</v>
      </c>
      <c r="B4" s="176"/>
      <c r="C4" s="176"/>
      <c r="D4" s="176"/>
    </row>
    <row r="5" spans="1:4" ht="23.25">
      <c r="A5" s="177" t="s">
        <v>61</v>
      </c>
      <c r="B5" s="177"/>
      <c r="C5" s="177"/>
      <c r="D5" s="177"/>
    </row>
    <row r="6" spans="1:4" ht="12.75">
      <c r="A6" s="178" t="s">
        <v>0</v>
      </c>
      <c r="B6" s="179" t="s">
        <v>1</v>
      </c>
      <c r="C6" s="180" t="s">
        <v>2</v>
      </c>
      <c r="D6" s="181" t="s">
        <v>39</v>
      </c>
    </row>
    <row r="7" spans="1:4" ht="12.75">
      <c r="A7" s="178"/>
      <c r="B7" s="179"/>
      <c r="C7" s="180"/>
      <c r="D7" s="182"/>
    </row>
    <row r="8" spans="1:4" ht="12.75">
      <c r="A8" s="178"/>
      <c r="B8" s="179"/>
      <c r="C8" s="180"/>
      <c r="D8" s="183"/>
    </row>
    <row r="9" spans="1:5" ht="23.25">
      <c r="A9" s="75" t="s">
        <v>7</v>
      </c>
      <c r="B9" s="76"/>
      <c r="C9" s="77"/>
      <c r="D9" s="76"/>
      <c r="E9" s="143"/>
    </row>
    <row r="10" spans="1:5" ht="23.25">
      <c r="A10" s="23" t="s">
        <v>34</v>
      </c>
      <c r="B10" s="83">
        <f>2279280-141410.16-17469</f>
        <v>2120400.84</v>
      </c>
      <c r="C10" s="83">
        <f>SUM(D10)</f>
        <v>1514857.2</v>
      </c>
      <c r="D10" s="83">
        <f>358836.2+388835.82+375270+391915.18</f>
        <v>1514857.2</v>
      </c>
      <c r="E10" s="144"/>
    </row>
    <row r="11" spans="1:5" ht="23.25">
      <c r="A11" s="23" t="s">
        <v>8</v>
      </c>
      <c r="B11" s="79">
        <f>505000-32700+14400-14400+141410.16+17469</f>
        <v>631179.16</v>
      </c>
      <c r="C11" s="79">
        <f aca="true" t="shared" si="0" ref="C11:C19">SUM(D11)</f>
        <v>560750.1599999999</v>
      </c>
      <c r="D11" s="79">
        <f>10933+23449+4212+18392-5115+508879.16</f>
        <v>560750.1599999999</v>
      </c>
      <c r="E11" s="143"/>
    </row>
    <row r="12" spans="1:4" ht="23.25">
      <c r="A12" s="23" t="s">
        <v>9</v>
      </c>
      <c r="B12" s="79">
        <f>840000+32700-40000-13500+34600-34600</f>
        <v>819200</v>
      </c>
      <c r="C12" s="79">
        <f t="shared" si="0"/>
        <v>663011</v>
      </c>
      <c r="D12" s="79">
        <f>390+267130+45740+352101-2350</f>
        <v>663011</v>
      </c>
    </row>
    <row r="13" spans="1:4" ht="23.25">
      <c r="A13" s="23" t="s">
        <v>10</v>
      </c>
      <c r="B13" s="81">
        <f>660000-63870+40000+13500</f>
        <v>649630</v>
      </c>
      <c r="C13" s="79">
        <f t="shared" si="0"/>
        <v>565181.8</v>
      </c>
      <c r="D13" s="82">
        <f>41285+54178+76552+393166.8</f>
        <v>565181.8</v>
      </c>
    </row>
    <row r="14" spans="1:4" ht="23.25">
      <c r="A14" s="23" t="s">
        <v>11</v>
      </c>
      <c r="B14" s="83">
        <v>5000</v>
      </c>
      <c r="C14" s="79">
        <f t="shared" si="0"/>
        <v>0</v>
      </c>
      <c r="D14" s="116" t="s">
        <v>30</v>
      </c>
    </row>
    <row r="15" spans="1:4" ht="23.25">
      <c r="A15" s="23" t="s">
        <v>12</v>
      </c>
      <c r="B15" s="79">
        <v>100000</v>
      </c>
      <c r="C15" s="79">
        <f t="shared" si="0"/>
        <v>100000</v>
      </c>
      <c r="D15" s="116">
        <v>100000</v>
      </c>
    </row>
    <row r="16" spans="1:4" ht="23.25">
      <c r="A16" s="23" t="s">
        <v>13</v>
      </c>
      <c r="B16" s="79"/>
      <c r="C16" s="79">
        <f t="shared" si="0"/>
        <v>0</v>
      </c>
      <c r="D16" s="116" t="s">
        <v>30</v>
      </c>
    </row>
    <row r="17" spans="1:4" ht="23.25">
      <c r="A17" s="23" t="s">
        <v>14</v>
      </c>
      <c r="B17" s="79">
        <v>1990300</v>
      </c>
      <c r="C17" s="79">
        <f t="shared" si="0"/>
        <v>1977325</v>
      </c>
      <c r="D17" s="116">
        <f>9190+1968135</f>
        <v>1977325</v>
      </c>
    </row>
    <row r="18" spans="1:4" ht="23.25">
      <c r="A18" s="23" t="s">
        <v>15</v>
      </c>
      <c r="B18" s="83"/>
      <c r="C18" s="79">
        <f t="shared" si="0"/>
        <v>0</v>
      </c>
      <c r="D18" s="116" t="s">
        <v>30</v>
      </c>
    </row>
    <row r="19" spans="1:4" ht="23.25">
      <c r="A19" s="23" t="s">
        <v>37</v>
      </c>
      <c r="B19" s="83" t="s">
        <v>30</v>
      </c>
      <c r="C19" s="79">
        <f t="shared" si="0"/>
        <v>0</v>
      </c>
      <c r="D19" s="116" t="s">
        <v>30</v>
      </c>
    </row>
    <row r="20" spans="1:4" ht="23.25">
      <c r="A20" s="80"/>
      <c r="B20" s="81"/>
      <c r="C20" s="84"/>
      <c r="D20" s="84"/>
    </row>
    <row r="21" spans="1:4" ht="23.25">
      <c r="A21" s="86"/>
      <c r="B21" s="81"/>
      <c r="C21" s="84"/>
      <c r="D21" s="84"/>
    </row>
    <row r="22" spans="1:4" ht="24" thickBot="1">
      <c r="A22" s="87" t="s">
        <v>2</v>
      </c>
      <c r="B22" s="88">
        <f>SUM(B10:B19)</f>
        <v>6315710</v>
      </c>
      <c r="C22" s="88">
        <f>SUM(C10:C19)</f>
        <v>5381125.16</v>
      </c>
      <c r="D22" s="88">
        <f>SUM(D10:D19)</f>
        <v>5381125.16</v>
      </c>
    </row>
    <row r="23" ht="13.5" thickTop="1"/>
    <row r="25" ht="12.75">
      <c r="B25" s="123"/>
    </row>
    <row r="26" ht="12.75">
      <c r="B26" s="123"/>
    </row>
    <row r="27" ht="12.75">
      <c r="B27" s="123"/>
    </row>
    <row r="28" ht="12.75">
      <c r="B28" s="123"/>
    </row>
    <row r="29" ht="12.75">
      <c r="B29" s="123"/>
    </row>
    <row r="30" ht="12.75">
      <c r="B30" s="123"/>
    </row>
  </sheetData>
  <sheetProtection/>
  <mergeCells count="7">
    <mergeCell ref="A3:D3"/>
    <mergeCell ref="A4:D4"/>
    <mergeCell ref="A5:D5"/>
    <mergeCell ref="A6:A8"/>
    <mergeCell ref="B6:B8"/>
    <mergeCell ref="C6:C8"/>
    <mergeCell ref="D6:D8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22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7.00390625" style="0" customWidth="1"/>
    <col min="2" max="2" width="16.421875" style="0" customWidth="1"/>
    <col min="3" max="3" width="18.140625" style="0" customWidth="1"/>
    <col min="4" max="4" width="59.28125" style="0" customWidth="1"/>
  </cols>
  <sheetData>
    <row r="3" spans="1:4" ht="23.25">
      <c r="A3" s="163" t="s">
        <v>31</v>
      </c>
      <c r="B3" s="163"/>
      <c r="C3" s="163"/>
      <c r="D3" s="163"/>
    </row>
    <row r="4" spans="1:4" ht="23.25">
      <c r="A4" s="163" t="s">
        <v>62</v>
      </c>
      <c r="B4" s="163"/>
      <c r="C4" s="163"/>
      <c r="D4" s="163"/>
    </row>
    <row r="5" spans="1:4" ht="23.25">
      <c r="A5" s="155" t="s">
        <v>49</v>
      </c>
      <c r="B5" s="155"/>
      <c r="C5" s="155"/>
      <c r="D5" s="155"/>
    </row>
    <row r="6" spans="1:4" ht="23.25">
      <c r="A6" s="171" t="s">
        <v>0</v>
      </c>
      <c r="B6" s="172" t="s">
        <v>1</v>
      </c>
      <c r="C6" s="174" t="s">
        <v>2</v>
      </c>
      <c r="D6" s="57"/>
    </row>
    <row r="7" spans="1:4" ht="23.25">
      <c r="A7" s="171"/>
      <c r="B7" s="172"/>
      <c r="C7" s="174"/>
      <c r="D7" s="58" t="s">
        <v>40</v>
      </c>
    </row>
    <row r="8" spans="1:4" ht="23.25">
      <c r="A8" s="171"/>
      <c r="B8" s="173"/>
      <c r="C8" s="175"/>
      <c r="D8" s="58"/>
    </row>
    <row r="9" spans="1:4" ht="23.25">
      <c r="A9" s="59" t="s">
        <v>7</v>
      </c>
      <c r="B9" s="60"/>
      <c r="C9" s="61"/>
      <c r="D9" s="60"/>
    </row>
    <row r="10" spans="1:4" ht="23.25">
      <c r="A10" s="23" t="s">
        <v>34</v>
      </c>
      <c r="B10" s="64"/>
      <c r="C10" s="64">
        <f>SUM(D10)</f>
        <v>0</v>
      </c>
      <c r="D10" s="64"/>
    </row>
    <row r="11" spans="1:4" ht="23.25">
      <c r="A11" s="23" t="s">
        <v>8</v>
      </c>
      <c r="B11" s="62"/>
      <c r="C11" s="64">
        <f aca="true" t="shared" si="0" ref="C11:C19">SUM(D11)</f>
        <v>0</v>
      </c>
      <c r="D11" s="62"/>
    </row>
    <row r="12" spans="1:5" ht="23.25">
      <c r="A12" s="23" t="s">
        <v>9</v>
      </c>
      <c r="B12" s="64">
        <f>980000-12957-2290+10087-10087+10087-10000-20000+9000+1000</f>
        <v>954840</v>
      </c>
      <c r="C12" s="64">
        <f t="shared" si="0"/>
        <v>953873</v>
      </c>
      <c r="D12" s="64">
        <f>447130+86438+214480+45600-2300+161405+10120-9000</f>
        <v>953873</v>
      </c>
      <c r="E12" s="140"/>
    </row>
    <row r="13" spans="1:4" ht="23.25">
      <c r="A13" s="23" t="s">
        <v>10</v>
      </c>
      <c r="B13" s="115" t="s">
        <v>30</v>
      </c>
      <c r="C13" s="64">
        <f t="shared" si="0"/>
        <v>0</v>
      </c>
      <c r="D13" s="65"/>
    </row>
    <row r="14" spans="1:4" ht="23.25">
      <c r="A14" s="23" t="s">
        <v>11</v>
      </c>
      <c r="B14" s="115" t="s">
        <v>30</v>
      </c>
      <c r="C14" s="64">
        <f t="shared" si="0"/>
        <v>0</v>
      </c>
      <c r="D14" s="64"/>
    </row>
    <row r="15" spans="1:4" ht="23.25">
      <c r="A15" s="23" t="s">
        <v>12</v>
      </c>
      <c r="B15" s="64">
        <v>60000</v>
      </c>
      <c r="C15" s="64">
        <f t="shared" si="0"/>
        <v>60000</v>
      </c>
      <c r="D15" s="64">
        <f>40000+10000+10000</f>
        <v>60000</v>
      </c>
    </row>
    <row r="16" spans="1:4" ht="23.25">
      <c r="A16" s="23" t="s">
        <v>13</v>
      </c>
      <c r="B16" s="115" t="s">
        <v>30</v>
      </c>
      <c r="C16" s="64">
        <f t="shared" si="0"/>
        <v>0</v>
      </c>
      <c r="D16" s="115"/>
    </row>
    <row r="17" spans="1:4" ht="23.25">
      <c r="A17" s="23" t="s">
        <v>14</v>
      </c>
      <c r="B17" s="64">
        <v>600000</v>
      </c>
      <c r="C17" s="64">
        <f t="shared" si="0"/>
        <v>596000</v>
      </c>
      <c r="D17" s="64">
        <v>596000</v>
      </c>
    </row>
    <row r="18" spans="1:4" ht="23.25">
      <c r="A18" s="23" t="s">
        <v>15</v>
      </c>
      <c r="B18" s="115" t="s">
        <v>30</v>
      </c>
      <c r="C18" s="64">
        <f t="shared" si="0"/>
        <v>0</v>
      </c>
      <c r="D18" s="115" t="s">
        <v>30</v>
      </c>
    </row>
    <row r="19" spans="1:4" ht="23.25">
      <c r="A19" s="23" t="s">
        <v>37</v>
      </c>
      <c r="B19" s="115" t="s">
        <v>30</v>
      </c>
      <c r="C19" s="64">
        <f t="shared" si="0"/>
        <v>0</v>
      </c>
      <c r="D19" s="115" t="s">
        <v>30</v>
      </c>
    </row>
    <row r="20" spans="1:4" ht="23.25">
      <c r="A20" s="63"/>
      <c r="B20" s="65"/>
      <c r="C20" s="66"/>
      <c r="D20" s="66"/>
    </row>
    <row r="21" spans="1:4" ht="23.25">
      <c r="A21" s="67"/>
      <c r="B21" s="65"/>
      <c r="C21" s="66"/>
      <c r="D21" s="66"/>
    </row>
    <row r="22" spans="1:4" ht="24" thickBot="1">
      <c r="A22" s="68" t="s">
        <v>2</v>
      </c>
      <c r="B22" s="69">
        <f>SUM(B10:B21)</f>
        <v>1614840</v>
      </c>
      <c r="C22" s="69">
        <f>SUM(C10:C21)</f>
        <v>1609873</v>
      </c>
      <c r="D22" s="69">
        <f>SUM(D10:D21)</f>
        <v>1609873</v>
      </c>
    </row>
    <row r="23" ht="13.5" thickTop="1"/>
  </sheetData>
  <sheetProtection/>
  <mergeCells count="6">
    <mergeCell ref="A3:D3"/>
    <mergeCell ref="A4:D4"/>
    <mergeCell ref="A5:D5"/>
    <mergeCell ref="A6:A8"/>
    <mergeCell ref="B6:B8"/>
    <mergeCell ref="C6:C8"/>
  </mergeCells>
  <printOptions horizontalCentered="1"/>
  <pageMargins left="0.7480314960629921" right="0.7480314960629921" top="0.984251968503937" bottom="0.5905511811023623" header="0.5118110236220472" footer="0.511811023622047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22">
      <selection activeCell="B34" sqref="B34"/>
    </sheetView>
  </sheetViews>
  <sheetFormatPr defaultColWidth="9.140625" defaultRowHeight="12.75"/>
  <cols>
    <col min="1" max="1" width="37.00390625" style="0" customWidth="1"/>
    <col min="2" max="2" width="16.7109375" style="0" customWidth="1"/>
    <col min="3" max="3" width="25.8515625" style="0" customWidth="1"/>
    <col min="4" max="4" width="49.7109375" style="0" customWidth="1"/>
  </cols>
  <sheetData>
    <row r="3" spans="1:4" ht="23.25">
      <c r="A3" s="163" t="s">
        <v>33</v>
      </c>
      <c r="B3" s="163"/>
      <c r="C3" s="163"/>
      <c r="D3" s="163"/>
    </row>
    <row r="4" spans="1:4" ht="23.25">
      <c r="A4" s="163" t="s">
        <v>63</v>
      </c>
      <c r="B4" s="163"/>
      <c r="C4" s="163"/>
      <c r="D4" s="163"/>
    </row>
    <row r="5" spans="1:4" ht="23.25">
      <c r="A5" s="155" t="s">
        <v>64</v>
      </c>
      <c r="B5" s="155"/>
      <c r="C5" s="155"/>
      <c r="D5" s="155"/>
    </row>
    <row r="6" spans="1:4" ht="23.25">
      <c r="A6" s="184" t="s">
        <v>0</v>
      </c>
      <c r="B6" s="185" t="s">
        <v>1</v>
      </c>
      <c r="C6" s="186" t="s">
        <v>2</v>
      </c>
      <c r="D6" s="89"/>
    </row>
    <row r="7" spans="1:4" ht="23.25">
      <c r="A7" s="184"/>
      <c r="B7" s="185"/>
      <c r="C7" s="186"/>
      <c r="D7" s="90" t="s">
        <v>29</v>
      </c>
    </row>
    <row r="8" spans="1:4" ht="23.25">
      <c r="A8" s="184"/>
      <c r="B8" s="185"/>
      <c r="C8" s="186"/>
      <c r="D8" s="91"/>
    </row>
    <row r="9" spans="1:4" ht="23.25">
      <c r="A9" s="92" t="s">
        <v>7</v>
      </c>
      <c r="B9" s="93"/>
      <c r="C9" s="94"/>
      <c r="D9" s="95"/>
    </row>
    <row r="10" spans="1:4" ht="23.25">
      <c r="A10" s="96" t="s">
        <v>65</v>
      </c>
      <c r="B10" s="97">
        <f>997125-56381-25000-6000</f>
        <v>909744</v>
      </c>
      <c r="C10" s="97">
        <f>SUM(D10)</f>
        <v>721878.6</v>
      </c>
      <c r="D10" s="97">
        <f>308898.6+155000+257980</f>
        <v>721878.6</v>
      </c>
    </row>
    <row r="11" spans="1:4" ht="23.25">
      <c r="A11" s="98" t="s">
        <v>66</v>
      </c>
      <c r="B11" s="99">
        <f>100000+115530+1505+25000+7700+6000</f>
        <v>255735</v>
      </c>
      <c r="C11" s="97">
        <f aca="true" t="shared" si="0" ref="C11:C17">SUM(D11)</f>
        <v>255735</v>
      </c>
      <c r="D11" s="100">
        <f>59560+44220+151955</f>
        <v>255735</v>
      </c>
    </row>
    <row r="12" spans="1:4" ht="23.25">
      <c r="A12" s="98" t="s">
        <v>41</v>
      </c>
      <c r="B12" s="101">
        <v>420000</v>
      </c>
      <c r="C12" s="97">
        <f t="shared" si="0"/>
        <v>351694</v>
      </c>
      <c r="D12" s="100">
        <f>93760+100228+98580+59126</f>
        <v>351694</v>
      </c>
    </row>
    <row r="13" spans="1:4" ht="23.25">
      <c r="A13" s="98" t="s">
        <v>42</v>
      </c>
      <c r="B13" s="100">
        <v>798000</v>
      </c>
      <c r="C13" s="97">
        <f t="shared" si="0"/>
        <v>797000</v>
      </c>
      <c r="D13" s="100">
        <f>198500+199500+199500+199500</f>
        <v>797000</v>
      </c>
    </row>
    <row r="14" spans="1:4" ht="23.25">
      <c r="A14" s="98" t="s">
        <v>43</v>
      </c>
      <c r="B14" s="101">
        <v>150000</v>
      </c>
      <c r="C14" s="97">
        <f t="shared" si="0"/>
        <v>150000</v>
      </c>
      <c r="D14" s="99">
        <f>37500+37500+37500+37500</f>
        <v>150000</v>
      </c>
    </row>
    <row r="15" spans="1:4" ht="23.25">
      <c r="A15" s="98" t="s">
        <v>44</v>
      </c>
      <c r="B15" s="101">
        <v>48000</v>
      </c>
      <c r="C15" s="97">
        <f t="shared" si="0"/>
        <v>18000</v>
      </c>
      <c r="D15" s="99">
        <f>4500+4500+4500+4500</f>
        <v>18000</v>
      </c>
    </row>
    <row r="16" spans="1:4" ht="23.25">
      <c r="A16" s="98" t="s">
        <v>45</v>
      </c>
      <c r="B16" s="101">
        <v>20000</v>
      </c>
      <c r="C16" s="97">
        <f t="shared" si="0"/>
        <v>15240</v>
      </c>
      <c r="D16" s="99">
        <v>15240</v>
      </c>
    </row>
    <row r="17" spans="1:4" ht="23.25">
      <c r="A17" s="98" t="s">
        <v>46</v>
      </c>
      <c r="B17" s="101">
        <v>535774</v>
      </c>
      <c r="C17" s="97">
        <f t="shared" si="0"/>
        <v>535694</v>
      </c>
      <c r="D17" s="99">
        <v>535694</v>
      </c>
    </row>
    <row r="18" spans="1:4" ht="23.25">
      <c r="A18" s="98"/>
      <c r="B18" s="102"/>
      <c r="C18" s="103"/>
      <c r="D18" s="103"/>
    </row>
    <row r="19" spans="1:4" ht="23.25">
      <c r="A19" s="98"/>
      <c r="B19" s="102"/>
      <c r="C19" s="103"/>
      <c r="D19" s="103"/>
    </row>
    <row r="20" spans="1:4" ht="23.25">
      <c r="A20" s="104"/>
      <c r="B20" s="102"/>
      <c r="C20" s="103"/>
      <c r="D20" s="103"/>
    </row>
    <row r="21" spans="1:4" ht="23.25">
      <c r="A21" s="104"/>
      <c r="B21" s="102"/>
      <c r="C21" s="103"/>
      <c r="D21" s="103"/>
    </row>
    <row r="22" spans="1:4" ht="24" thickBot="1">
      <c r="A22" s="105" t="s">
        <v>2</v>
      </c>
      <c r="B22" s="106">
        <f>SUM(B10:B21)</f>
        <v>3137253</v>
      </c>
      <c r="C22" s="106">
        <f>SUM(C10:C21)</f>
        <v>2845241.6</v>
      </c>
      <c r="D22" s="106">
        <f>SUM(D10:D21)</f>
        <v>2845241.6</v>
      </c>
    </row>
    <row r="23" ht="13.5" thickTop="1"/>
  </sheetData>
  <sheetProtection/>
  <mergeCells count="6">
    <mergeCell ref="A3:D3"/>
    <mergeCell ref="A4:D4"/>
    <mergeCell ref="A5:D5"/>
    <mergeCell ref="A6:A8"/>
    <mergeCell ref="B6:B8"/>
    <mergeCell ref="C6:C8"/>
  </mergeCells>
  <printOptions horizontalCentered="1"/>
  <pageMargins left="0.7480314960629921" right="0.7480314960629921" top="0.984251968503937" bottom="0.3937007874015748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User</cp:lastModifiedBy>
  <cp:lastPrinted>2009-11-12T04:45:32Z</cp:lastPrinted>
  <dcterms:created xsi:type="dcterms:W3CDTF">2008-06-27T07:08:26Z</dcterms:created>
  <dcterms:modified xsi:type="dcterms:W3CDTF">2009-11-12T04:47:15Z</dcterms:modified>
  <cp:category/>
  <cp:version/>
  <cp:contentType/>
  <cp:contentStatus/>
</cp:coreProperties>
</file>